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3.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166925"/>
  <mc:AlternateContent xmlns:mc="http://schemas.openxmlformats.org/markup-compatibility/2006">
    <mc:Choice Requires="x15">
      <x15ac:absPath xmlns:x15ac="http://schemas.microsoft.com/office/spreadsheetml/2010/11/ac" url="https://secth.sharepoint.com/sites/CyberResilience218/Shared Documents/General/IT Regulatory framework development/_Template แบบรายงาน IT Audit &amp; IT Audit Program/2568/"/>
    </mc:Choice>
  </mc:AlternateContent>
  <xr:revisionPtr revIDLastSave="4871" documentId="13_ncr:1_{1DFAE367-4C72-4634-96EE-7921A9B37767}" xr6:coauthVersionLast="47" xr6:coauthVersionMax="47" xr10:uidLastSave="{70975A26-BB27-41A2-9625-25B684167140}"/>
  <bookViews>
    <workbookView xWindow="-113" yWindow="-113" windowWidth="24267" windowHeight="13023" tabRatio="893" firstSheet="2" activeTab="20" xr2:uid="{00000000-000D-0000-FFFF-FFFF00000000}"/>
  </bookViews>
  <sheets>
    <sheet name="1. Basic info" sheetId="14" r:id="rId1"/>
    <sheet name="2. Systems" sheetId="62" r:id="rId2"/>
    <sheet name="3. Scope" sheetId="39" r:id="rId3"/>
    <sheet name="3.1 Critical Systems" sheetId="34" r:id="rId4"/>
    <sheet name="4. D1" sheetId="44" r:id="rId5"/>
    <sheet name="D2.1" sheetId="45" r:id="rId6"/>
    <sheet name="D2.2" sheetId="46" r:id="rId7"/>
    <sheet name="D2.3" sheetId="47" r:id="rId8"/>
    <sheet name="D2.4" sheetId="48" r:id="rId9"/>
    <sheet name="D2.5" sheetId="49" r:id="rId10"/>
    <sheet name="D2.6" sheetId="50" r:id="rId11"/>
    <sheet name="D2.7" sheetId="51" r:id="rId12"/>
    <sheet name="D2.8" sheetId="52" r:id="rId13"/>
    <sheet name="D2.9" sheetId="53" r:id="rId14"/>
    <sheet name="D2.10" sheetId="54" r:id="rId15"/>
    <sheet name="D2.11" sheetId="55" r:id="rId16"/>
    <sheet name="D2.12" sheetId="56" r:id="rId17"/>
    <sheet name="D3" sheetId="57" r:id="rId18"/>
    <sheet name="5. Finding" sheetId="6" r:id="rId19"/>
    <sheet name="RawData" sheetId="59" r:id="rId20"/>
    <sheet name="6. Result" sheetId="61" r:id="rId21"/>
    <sheet name="6.1 Result (Cyber Hygiene)" sheetId="63" r:id="rId22"/>
    <sheet name="DataValidation" sheetId="4" state="hidden" r:id="rId23"/>
    <sheet name="Company List" sheetId="9" state="hidden" r:id="rId24"/>
  </sheets>
  <definedNames>
    <definedName name="_xlnm._FilterDatabase" localSheetId="3" hidden="1">'3.1 Critical Systems'!$D$18:$D$59</definedName>
    <definedName name="_xlnm._FilterDatabase" localSheetId="4" hidden="1">'4. D1'!$B$1:$S$39</definedName>
    <definedName name="_xlnm._FilterDatabase" localSheetId="5" hidden="1">'D2.1'!$A$1:$N$6</definedName>
    <definedName name="_xlnm._FilterDatabase" localSheetId="14" hidden="1">'D2.10'!$B$1:$S$39</definedName>
    <definedName name="_xlnm._FilterDatabase" localSheetId="15" hidden="1">'D2.11'!$B$1:$S$19</definedName>
    <definedName name="_xlnm._FilterDatabase" localSheetId="16" hidden="1">'D2.12'!$B$1:$S$21</definedName>
    <definedName name="_xlnm._FilterDatabase" localSheetId="6" hidden="1">'D2.2'!$A$1:$N$32</definedName>
    <definedName name="_xlnm._FilterDatabase" localSheetId="7" hidden="1">'D2.3'!$B$1:$S$9</definedName>
    <definedName name="_xlnm._FilterDatabase" localSheetId="8" hidden="1">'D2.4'!$B$1:$S$10</definedName>
    <definedName name="_xlnm._FilterDatabase" localSheetId="9" hidden="1">'D2.5'!$A$1:$S$12</definedName>
    <definedName name="_xlnm._FilterDatabase" localSheetId="10" hidden="1">'D2.6'!$B$1:$S$11</definedName>
    <definedName name="_xlnm._FilterDatabase" localSheetId="11" hidden="1">'D2.7'!$B$1:$S$15</definedName>
    <definedName name="_xlnm._FilterDatabase" localSheetId="12" hidden="1">'D2.8'!$B$1:$S$99</definedName>
    <definedName name="_xlnm._FilterDatabase" localSheetId="13" hidden="1">'D2.9'!$B$1:$S$19</definedName>
    <definedName name="_xlnm._FilterDatabase" localSheetId="22" hidden="1">DataValidation!$A$92:$A$115</definedName>
    <definedName name="_xlnm._FilterDatabase" localSheetId="19" hidden="1">RawData!$A$1:$Y$278</definedName>
    <definedName name="_ftn1" localSheetId="18">'5. Finding'!$D$11</definedName>
    <definedName name="_xlnm.Print_Area" localSheetId="0">'1. Basic info'!$A:$L</definedName>
    <definedName name="_xlnm.Print_Area" localSheetId="4">'4. D1'!$B$1:$S$36</definedName>
    <definedName name="_xlnm.Print_Area" localSheetId="5">'D2.1'!$B$1:$S$6</definedName>
    <definedName name="_xlnm.Print_Area" localSheetId="14">'D2.10'!$B$1:$S$24</definedName>
    <definedName name="_xlnm.Print_Area" localSheetId="15">'D2.11'!$B$1:$S$14</definedName>
    <definedName name="_xlnm.Print_Area" localSheetId="16">'D2.12'!$B$1:$S$17</definedName>
    <definedName name="_xlnm.Print_Area" localSheetId="6">'D2.2'!$B$1:$S$13</definedName>
    <definedName name="_xlnm.Print_Area" localSheetId="7">'D2.3'!$B$1:$S$9</definedName>
    <definedName name="_xlnm.Print_Area" localSheetId="8">'D2.4'!$B$1:$S$10</definedName>
    <definedName name="_xlnm.Print_Area" localSheetId="9">'D2.5'!$B$1:$S$9</definedName>
    <definedName name="_xlnm.Print_Area" localSheetId="10">'D2.6'!$B$1:$S$9</definedName>
    <definedName name="_xlnm.Print_Area" localSheetId="11">'D2.7'!$B$1:$S$15</definedName>
    <definedName name="_xlnm.Print_Area" localSheetId="12">'D2.8'!$B$1:$S$96</definedName>
    <definedName name="_xlnm.Print_Area" localSheetId="17">'D3'!$B$1:$I$11</definedName>
    <definedName name="_xlnm.Print_Titles" localSheetId="4">'4. D1'!$I:$I,'4. D1'!$1:$1</definedName>
    <definedName name="_xlnm.Print_Titles" localSheetId="5">'D2.1'!$I:$I,'D2.1'!$1:$1</definedName>
    <definedName name="_xlnm.Print_Titles" localSheetId="14">'D2.10'!$I:$I,'D2.10'!$1:$1</definedName>
    <definedName name="_xlnm.Print_Titles" localSheetId="15">'D2.11'!$I:$I,'D2.11'!$1:$1</definedName>
    <definedName name="_xlnm.Print_Titles" localSheetId="16">'D2.12'!$I:$I,'D2.12'!$1:$1</definedName>
    <definedName name="_xlnm.Print_Titles" localSheetId="6">'D2.2'!$I:$I,'D2.2'!$1:$1</definedName>
    <definedName name="_xlnm.Print_Titles" localSheetId="7">'D2.3'!$I:$I,'D2.3'!$1:$1</definedName>
    <definedName name="_xlnm.Print_Titles" localSheetId="8">'D2.4'!$I:$I,'D2.4'!$1:$1</definedName>
    <definedName name="_xlnm.Print_Titles" localSheetId="9">'D2.5'!$I:$I,'D2.5'!$1:$1</definedName>
    <definedName name="_xlnm.Print_Titles" localSheetId="10">'D2.6'!$I:$I,'D2.6'!$1:$1</definedName>
    <definedName name="_xlnm.Print_Titles" localSheetId="11">'D2.7'!$I:$I,'D2.7'!$1:$1</definedName>
    <definedName name="_xlnm.Print_Titles" localSheetId="12">'D2.8'!$I:$I,'D2.8'!$1:$1</definedName>
    <definedName name="_xlnm.Print_Titles" localSheetId="17">'D3'!$I:$I,'D3'!$1:$1</definedName>
    <definedName name="การทดสอบการเจาะระบบ" localSheetId="20">'6. Result'!$C$30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A276" i="59" l="1"/>
  <c r="E6" i="6"/>
  <c r="E5" i="6"/>
  <c r="E4" i="6"/>
  <c r="J144" i="59" a="1"/>
  <c r="P21" i="59" a="1"/>
  <c r="P10" i="59" a="1"/>
  <c r="P2" i="59" a="1"/>
  <c r="N58" i="59" a="1"/>
  <c r="P11" i="59" a="1"/>
  <c r="P12" i="59" a="1"/>
  <c r="N58" i="59" l="1"/>
  <c r="P21" i="59"/>
  <c r="P12" i="59"/>
  <c r="P11" i="59"/>
  <c r="P10" i="59"/>
  <c r="P2" i="59"/>
  <c r="J144" i="59"/>
  <c r="P272" i="59" a="1"/>
  <c r="P272" i="59" l="1"/>
  <c r="R272" i="59" s="1"/>
  <c r="M13" i="57"/>
  <c r="M21" i="53"/>
  <c r="M17" i="51"/>
  <c r="M13" i="50"/>
  <c r="M13" i="48"/>
  <c r="M11" i="47"/>
  <c r="C2" i="9" a="1"/>
  <c r="C2" i="9" s="1"/>
  <c r="P271" i="59" a="1"/>
  <c r="P252" i="59" a="1"/>
  <c r="P170" i="59" a="1"/>
  <c r="P257" i="59" a="1"/>
  <c r="P172" i="59" a="1"/>
  <c r="P156" i="59" a="1"/>
  <c r="P73" i="59" a="1"/>
  <c r="P186" i="59" a="1"/>
  <c r="P120" i="59" a="1"/>
  <c r="P80" i="59" a="1"/>
  <c r="P127" i="59" a="1"/>
  <c r="P218" i="59" a="1"/>
  <c r="P105" i="59" a="1"/>
  <c r="P265" i="59" a="1"/>
  <c r="P183" i="59" a="1"/>
  <c r="P228" i="59" a="1"/>
  <c r="P260" i="59" a="1"/>
  <c r="P29" i="59" a="1"/>
  <c r="P48" i="59" a="1"/>
  <c r="P124" i="59" a="1"/>
  <c r="P137" i="59" a="1"/>
  <c r="P108" i="59" a="1"/>
  <c r="P42" i="59" a="1"/>
  <c r="P64" i="59" a="1"/>
  <c r="P234" i="59" a="1"/>
  <c r="P84" i="59" a="1"/>
  <c r="P109" i="59" a="1"/>
  <c r="P88" i="59" a="1"/>
  <c r="P206" i="59" a="1"/>
  <c r="P104" i="59" a="1"/>
  <c r="P134" i="59" a="1"/>
  <c r="P239" i="59" a="1"/>
  <c r="P75" i="59" a="1"/>
  <c r="P247" i="59" a="1"/>
  <c r="P150" i="59" a="1"/>
  <c r="P100" i="59" a="1"/>
  <c r="P181" i="59" a="1"/>
  <c r="P200" i="59" a="1"/>
  <c r="P149" i="59" a="1"/>
  <c r="P192" i="59" a="1"/>
  <c r="P44" i="59" a="1"/>
  <c r="P45" i="59" a="1"/>
  <c r="P32" i="59" a="1"/>
  <c r="P52" i="59" a="1"/>
  <c r="P65" i="59" a="1"/>
  <c r="P89" i="59" a="1"/>
  <c r="P195" i="59" a="1"/>
  <c r="P7" i="59" a="1"/>
  <c r="P254" i="59" a="1"/>
  <c r="P95" i="59" a="1"/>
  <c r="P261" i="59" a="1"/>
  <c r="P153" i="59" a="1"/>
  <c r="P6" i="59" a="1"/>
  <c r="P145" i="59" a="1"/>
  <c r="P70" i="59" a="1"/>
  <c r="P267" i="59" a="1"/>
  <c r="P152" i="59" a="1"/>
  <c r="P135" i="59" a="1"/>
  <c r="P245" i="59" a="1"/>
  <c r="P158" i="59" a="1"/>
  <c r="P69" i="59" a="1"/>
  <c r="P214" i="59" a="1"/>
  <c r="P223" i="59" a="1"/>
  <c r="P66" i="59" a="1"/>
  <c r="P264" i="59" a="1"/>
  <c r="P240" i="59" a="1"/>
  <c r="P163" i="59" a="1"/>
  <c r="P86" i="59" a="1"/>
  <c r="P237" i="59" a="1"/>
  <c r="P232" i="59" a="1"/>
  <c r="P196" i="59" a="1"/>
  <c r="P231" i="59" a="1"/>
  <c r="P213" i="59" a="1"/>
  <c r="P123" i="59" a="1"/>
  <c r="P193" i="59" a="1"/>
  <c r="P5" i="59" a="1"/>
  <c r="P39" i="59" a="1"/>
  <c r="P142" i="59" a="1"/>
  <c r="P204" i="59" a="1"/>
  <c r="P179" i="59" a="1"/>
  <c r="P9" i="59" a="1"/>
  <c r="P262" i="59" a="1"/>
  <c r="P122" i="59" a="1"/>
  <c r="P51" i="59" a="1"/>
  <c r="P161" i="59" a="1"/>
  <c r="P67" i="59" a="1"/>
  <c r="P191" i="59" a="1"/>
  <c r="P57" i="59" a="1"/>
  <c r="P130" i="59" a="1"/>
  <c r="P36" i="59" a="1"/>
  <c r="P270" i="59" a="1"/>
  <c r="P56" i="59" a="1"/>
  <c r="P112" i="59" a="1"/>
  <c r="P242" i="59" a="1"/>
  <c r="P114" i="59" a="1"/>
  <c r="P129" i="59" a="1"/>
  <c r="P215" i="59" a="1"/>
  <c r="P23" i="59" a="1"/>
  <c r="P50" i="59" a="1"/>
  <c r="P115" i="59" a="1"/>
  <c r="P160" i="59" a="1"/>
  <c r="P17" i="59" a="1"/>
  <c r="P225" i="59" a="1"/>
  <c r="P155" i="59" a="1"/>
  <c r="P35" i="59" a="1"/>
  <c r="P77" i="59" a="1"/>
  <c r="P16" i="59" a="1"/>
  <c r="P94" i="59" a="1"/>
  <c r="P222" i="59" a="1"/>
  <c r="P143" i="59" a="1"/>
  <c r="P83" i="59" a="1"/>
  <c r="P3" i="59" a="1"/>
  <c r="P25" i="59" a="1"/>
  <c r="P22" i="59" a="1"/>
  <c r="P256" i="59" a="1"/>
  <c r="P125" i="59" a="1"/>
  <c r="P30" i="59" a="1"/>
  <c r="P68" i="59" a="1"/>
  <c r="P118" i="59" a="1"/>
  <c r="P151" i="59" a="1"/>
  <c r="P15" i="59" a="1"/>
  <c r="P126" i="59" a="1"/>
  <c r="P189" i="59" a="1"/>
  <c r="P147" i="59" a="1"/>
  <c r="P173" i="59" a="1"/>
  <c r="P251" i="59" a="1"/>
  <c r="P78" i="59" a="1"/>
  <c r="P210" i="59" a="1"/>
  <c r="P227" i="59" a="1"/>
  <c r="P164" i="59" a="1"/>
  <c r="P74" i="59" a="1"/>
  <c r="P224" i="59" a="1"/>
  <c r="P82" i="59" a="1"/>
  <c r="P202" i="59" a="1"/>
  <c r="P266" i="59" a="1"/>
  <c r="P241" i="59" a="1"/>
  <c r="P20" i="59" a="1"/>
  <c r="P4" i="59" a="1"/>
  <c r="P229" i="59" a="1"/>
  <c r="P139" i="59" a="1"/>
  <c r="P221" i="59" a="1"/>
  <c r="P138" i="59" a="1"/>
  <c r="P111" i="59" a="1"/>
  <c r="P101" i="59" a="1"/>
  <c r="P167" i="59" a="1"/>
  <c r="P76" i="59" a="1"/>
  <c r="P178" i="59" a="1"/>
  <c r="P96" i="59" a="1"/>
  <c r="P243" i="59" a="1"/>
  <c r="P91" i="59" a="1"/>
  <c r="P117" i="59" a="1"/>
  <c r="P92" i="59" a="1"/>
  <c r="P212" i="59" a="1"/>
  <c r="P144" i="59" a="1"/>
  <c r="P99" i="59" a="1"/>
  <c r="P85" i="59" a="1"/>
  <c r="P269" i="59" a="1"/>
  <c r="P38" i="59" a="1"/>
  <c r="P146" i="59" a="1"/>
  <c r="P180" i="59" a="1"/>
  <c r="P157" i="59" a="1"/>
  <c r="P185" i="59" a="1"/>
  <c r="P107" i="59" a="1"/>
  <c r="P121" i="59" a="1"/>
  <c r="P90" i="59" a="1"/>
  <c r="P171" i="59" a="1"/>
  <c r="P97" i="59" a="1"/>
  <c r="P198" i="59" a="1"/>
  <c r="P217" i="59" a="1"/>
  <c r="P110" i="59" a="1"/>
  <c r="P63" i="59" a="1"/>
  <c r="P53" i="59" a="1"/>
  <c r="P148" i="59" a="1"/>
  <c r="P71" i="59" a="1"/>
  <c r="P27" i="59" a="1"/>
  <c r="P59" i="59" a="1"/>
  <c r="P165" i="59" a="1"/>
  <c r="P238" i="59" a="1"/>
  <c r="P250" i="59" a="1"/>
  <c r="P33" i="59" a="1"/>
  <c r="P253" i="59" a="1"/>
  <c r="P93" i="59" a="1"/>
  <c r="P226" i="59" a="1"/>
  <c r="P113" i="59" a="1"/>
  <c r="P190" i="59" a="1"/>
  <c r="P162" i="59" a="1"/>
  <c r="P41" i="59" a="1"/>
  <c r="P116" i="59" a="1"/>
  <c r="P199" i="59" a="1"/>
  <c r="P61" i="59" a="1"/>
  <c r="P28" i="59" a="1"/>
  <c r="P188" i="59" a="1"/>
  <c r="P140" i="59" a="1"/>
  <c r="P81" i="59" a="1"/>
  <c r="P98" i="59" a="1"/>
  <c r="P187" i="59" a="1"/>
  <c r="P159" i="59" a="1"/>
  <c r="P216" i="59" a="1"/>
  <c r="P174" i="59" a="1"/>
  <c r="P58" i="59" a="1"/>
  <c r="P194" i="59" a="1"/>
  <c r="P31" i="59" a="1"/>
  <c r="P72" i="59" a="1"/>
  <c r="P203" i="59" a="1"/>
  <c r="P132" i="59" a="1"/>
  <c r="P207" i="59" a="1"/>
  <c r="P131" i="59" a="1"/>
  <c r="P19" i="59" a="1"/>
  <c r="P184" i="59" a="1"/>
  <c r="P248" i="59" a="1"/>
  <c r="P230" i="59" a="1"/>
  <c r="P244" i="59" a="1"/>
  <c r="P136" i="59" a="1"/>
  <c r="P249" i="59" a="1"/>
  <c r="P259" i="59" a="1"/>
  <c r="P14" i="59" a="1"/>
  <c r="P60" i="59" a="1"/>
  <c r="P208" i="59" a="1"/>
  <c r="P255" i="59" a="1"/>
  <c r="P258" i="59" a="1"/>
  <c r="P236" i="59" a="1"/>
  <c r="P246" i="59" a="1"/>
  <c r="P62" i="59" a="1"/>
  <c r="P209" i="59" a="1"/>
  <c r="P8" i="59" a="1"/>
  <c r="P102" i="59" a="1"/>
  <c r="P106" i="59" a="1"/>
  <c r="P49" i="59" a="1"/>
  <c r="P201" i="59" a="1"/>
  <c r="P54" i="59" a="1"/>
  <c r="P169" i="59" a="1"/>
  <c r="P18" i="59" a="1"/>
  <c r="P26" i="59" a="1"/>
  <c r="P197" i="59" a="1"/>
  <c r="P205" i="59" a="1"/>
  <c r="P37" i="59" a="1"/>
  <c r="P141" i="59" a="1"/>
  <c r="P24" i="59" a="1"/>
  <c r="P235" i="59" a="1"/>
  <c r="P177" i="59" a="1"/>
  <c r="P46" i="59" a="1"/>
  <c r="P47" i="59" a="1"/>
  <c r="P13" i="59" a="1"/>
  <c r="P128" i="59" a="1"/>
  <c r="P40" i="59" a="1"/>
  <c r="P220" i="59" a="1"/>
  <c r="P103" i="59" a="1"/>
  <c r="P175" i="59" a="1"/>
  <c r="P87" i="59" a="1"/>
  <c r="P34" i="59" a="1"/>
  <c r="P182" i="59" a="1"/>
  <c r="P263" i="59" a="1"/>
  <c r="P219" i="59" a="1"/>
  <c r="P233" i="59" a="1"/>
  <c r="P176" i="59" a="1"/>
  <c r="P166" i="59" a="1"/>
  <c r="P154" i="59" a="1"/>
  <c r="P43" i="59" a="1"/>
  <c r="P119" i="59" a="1"/>
  <c r="P55" i="59" a="1"/>
  <c r="P79" i="59" a="1"/>
  <c r="P133" i="59" a="1"/>
  <c r="P168" i="59" a="1"/>
  <c r="P268" i="59" a="1"/>
  <c r="P211" i="59" a="1"/>
  <c r="P266" i="59" l="1"/>
  <c r="R266" i="59" s="1"/>
  <c r="P260" i="59"/>
  <c r="R260" i="59" s="1"/>
  <c r="P254" i="59"/>
  <c r="P248" i="59"/>
  <c r="R248" i="59" s="1"/>
  <c r="P242" i="59"/>
  <c r="R242" i="59" s="1"/>
  <c r="P236" i="59"/>
  <c r="R236" i="59" s="1"/>
  <c r="P230" i="59"/>
  <c r="P224" i="59"/>
  <c r="R224" i="59" s="1"/>
  <c r="P218" i="59"/>
  <c r="R218" i="59" s="1"/>
  <c r="P212" i="59"/>
  <c r="R212" i="59" s="1"/>
  <c r="P206" i="59"/>
  <c r="R206" i="59" s="1"/>
  <c r="P200" i="59"/>
  <c r="R200" i="59" s="1"/>
  <c r="P194" i="59"/>
  <c r="R194" i="59" s="1"/>
  <c r="P188" i="59"/>
  <c r="P182" i="59"/>
  <c r="P176" i="59"/>
  <c r="R176" i="59" s="1"/>
  <c r="P170" i="59"/>
  <c r="R170" i="59" s="1"/>
  <c r="P164" i="59"/>
  <c r="P158" i="59"/>
  <c r="P152" i="59"/>
  <c r="R152" i="59" s="1"/>
  <c r="P146" i="59"/>
  <c r="R146" i="59" s="1"/>
  <c r="P140" i="59"/>
  <c r="R140" i="59" s="1"/>
  <c r="P134" i="59"/>
  <c r="P128" i="59"/>
  <c r="R128" i="59" s="1"/>
  <c r="P122" i="59"/>
  <c r="R122" i="59" s="1"/>
  <c r="P116" i="59"/>
  <c r="R116" i="59" s="1"/>
  <c r="P110" i="59"/>
  <c r="R110" i="59" s="1"/>
  <c r="P104" i="59"/>
  <c r="P98" i="59"/>
  <c r="R98" i="59" s="1"/>
  <c r="P92" i="59"/>
  <c r="R92" i="59" s="1"/>
  <c r="P86" i="59"/>
  <c r="R86" i="59" s="1"/>
  <c r="P80" i="59"/>
  <c r="P74" i="59"/>
  <c r="P68" i="59"/>
  <c r="R68" i="59" s="1"/>
  <c r="P62" i="59"/>
  <c r="R62" i="59" s="1"/>
  <c r="P56" i="59"/>
  <c r="R56" i="59" s="1"/>
  <c r="P50" i="59"/>
  <c r="R50" i="59" s="1"/>
  <c r="P44" i="59"/>
  <c r="R44" i="59" s="1"/>
  <c r="P38" i="59"/>
  <c r="R38" i="59" s="1"/>
  <c r="P32" i="59"/>
  <c r="R32" i="59" s="1"/>
  <c r="P26" i="59"/>
  <c r="R26" i="59" s="1"/>
  <c r="P20" i="59"/>
  <c r="R20" i="59" s="1"/>
  <c r="P14" i="59"/>
  <c r="R14" i="59" s="1"/>
  <c r="P8" i="59"/>
  <c r="R8" i="59" s="1"/>
  <c r="P271" i="59"/>
  <c r="R271" i="59" s="1"/>
  <c r="P265" i="59"/>
  <c r="R265" i="59" s="1"/>
  <c r="P259" i="59"/>
  <c r="R259" i="59" s="1"/>
  <c r="P253" i="59"/>
  <c r="R253" i="59" s="1"/>
  <c r="P247" i="59"/>
  <c r="R247" i="59" s="1"/>
  <c r="P241" i="59"/>
  <c r="R241" i="59" s="1"/>
  <c r="P235" i="59"/>
  <c r="R235" i="59" s="1"/>
  <c r="P229" i="59"/>
  <c r="R229" i="59" s="1"/>
  <c r="P223" i="59"/>
  <c r="R223" i="59" s="1"/>
  <c r="P217" i="59"/>
  <c r="R217" i="59" s="1"/>
  <c r="P211" i="59"/>
  <c r="R211" i="59" s="1"/>
  <c r="P205" i="59"/>
  <c r="R205" i="59" s="1"/>
  <c r="P199" i="59"/>
  <c r="R199" i="59" s="1"/>
  <c r="P193" i="59"/>
  <c r="R193" i="59" s="1"/>
  <c r="P187" i="59"/>
  <c r="R187" i="59" s="1"/>
  <c r="P181" i="59"/>
  <c r="P175" i="59"/>
  <c r="R175" i="59" s="1"/>
  <c r="P169" i="59"/>
  <c r="R169" i="59" s="1"/>
  <c r="P163" i="59"/>
  <c r="R163" i="59" s="1"/>
  <c r="P157" i="59"/>
  <c r="R157" i="59" s="1"/>
  <c r="P151" i="59"/>
  <c r="R151" i="59" s="1"/>
  <c r="P145" i="59"/>
  <c r="P139" i="59"/>
  <c r="R139" i="59" s="1"/>
  <c r="P133" i="59"/>
  <c r="R133" i="59" s="1"/>
  <c r="P127" i="59"/>
  <c r="R127" i="59" s="1"/>
  <c r="P121" i="59"/>
  <c r="R121" i="59" s="1"/>
  <c r="P115" i="59"/>
  <c r="R115" i="59" s="1"/>
  <c r="P109" i="59"/>
  <c r="R109" i="59" s="1"/>
  <c r="P103" i="59"/>
  <c r="R103" i="59" s="1"/>
  <c r="P97" i="59"/>
  <c r="R97" i="59" s="1"/>
  <c r="P91" i="59"/>
  <c r="R91" i="59" s="1"/>
  <c r="P85" i="59"/>
  <c r="R85" i="59" s="1"/>
  <c r="P79" i="59"/>
  <c r="R79" i="59" s="1"/>
  <c r="P73" i="59"/>
  <c r="R73" i="59" s="1"/>
  <c r="P67" i="59"/>
  <c r="R67" i="59" s="1"/>
  <c r="P61" i="59"/>
  <c r="R61" i="59" s="1"/>
  <c r="P55" i="59"/>
  <c r="R55" i="59" s="1"/>
  <c r="P49" i="59"/>
  <c r="R49" i="59" s="1"/>
  <c r="P43" i="59"/>
  <c r="R43" i="59" s="1"/>
  <c r="P37" i="59"/>
  <c r="R37" i="59" s="1"/>
  <c r="P31" i="59"/>
  <c r="R31" i="59" s="1"/>
  <c r="P25" i="59"/>
  <c r="R25" i="59" s="1"/>
  <c r="P19" i="59"/>
  <c r="R19" i="59" s="1"/>
  <c r="P13" i="59"/>
  <c r="P7" i="59"/>
  <c r="P270" i="59"/>
  <c r="R270" i="59" s="1"/>
  <c r="P264" i="59"/>
  <c r="P258" i="59"/>
  <c r="R258" i="59" s="1"/>
  <c r="P252" i="59"/>
  <c r="R252" i="59" s="1"/>
  <c r="P246" i="59"/>
  <c r="P240" i="59"/>
  <c r="R240" i="59" s="1"/>
  <c r="P234" i="59"/>
  <c r="R234" i="59" s="1"/>
  <c r="P228" i="59"/>
  <c r="R228" i="59" s="1"/>
  <c r="P222" i="59"/>
  <c r="R222" i="59" s="1"/>
  <c r="P216" i="59"/>
  <c r="R216" i="59" s="1"/>
  <c r="P210" i="59"/>
  <c r="R210" i="59" s="1"/>
  <c r="P204" i="59"/>
  <c r="P198" i="59"/>
  <c r="P192" i="59"/>
  <c r="R192" i="59" s="1"/>
  <c r="P186" i="59"/>
  <c r="R186" i="59" s="1"/>
  <c r="P180" i="59"/>
  <c r="P174" i="59"/>
  <c r="P168" i="59"/>
  <c r="P162" i="59"/>
  <c r="R162" i="59" s="1"/>
  <c r="P156" i="59"/>
  <c r="R156" i="59" s="1"/>
  <c r="P150" i="59"/>
  <c r="R150" i="59" s="1"/>
  <c r="P144" i="59"/>
  <c r="P138" i="59"/>
  <c r="R138" i="59" s="1"/>
  <c r="P132" i="59"/>
  <c r="R132" i="59" s="1"/>
  <c r="P126" i="59"/>
  <c r="P120" i="59"/>
  <c r="R120" i="59" s="1"/>
  <c r="P114" i="59"/>
  <c r="P108" i="59"/>
  <c r="R108" i="59" s="1"/>
  <c r="P102" i="59"/>
  <c r="R102" i="59" s="1"/>
  <c r="P96" i="59"/>
  <c r="R96" i="59" s="1"/>
  <c r="P90" i="59"/>
  <c r="R90" i="59" s="1"/>
  <c r="P84" i="59"/>
  <c r="R84" i="59" s="1"/>
  <c r="P78" i="59"/>
  <c r="R78" i="59" s="1"/>
  <c r="P72" i="59"/>
  <c r="R72" i="59" s="1"/>
  <c r="P66" i="59"/>
  <c r="P60" i="59"/>
  <c r="P54" i="59"/>
  <c r="R54" i="59" s="1"/>
  <c r="P48" i="59"/>
  <c r="P42" i="59"/>
  <c r="R42" i="59" s="1"/>
  <c r="P36" i="59"/>
  <c r="P30" i="59"/>
  <c r="R30" i="59" s="1"/>
  <c r="P24" i="59"/>
  <c r="R24" i="59" s="1"/>
  <c r="P18" i="59"/>
  <c r="R12" i="59"/>
  <c r="P6" i="59"/>
  <c r="R6" i="59" s="1"/>
  <c r="P269" i="59"/>
  <c r="R269" i="59" s="1"/>
  <c r="P263" i="59"/>
  <c r="R263" i="59" s="1"/>
  <c r="P257" i="59"/>
  <c r="R257" i="59" s="1"/>
  <c r="P251" i="59"/>
  <c r="R251" i="59" s="1"/>
  <c r="P245" i="59"/>
  <c r="R245" i="59" s="1"/>
  <c r="P239" i="59"/>
  <c r="P233" i="59"/>
  <c r="R233" i="59" s="1"/>
  <c r="P227" i="59"/>
  <c r="R227" i="59" s="1"/>
  <c r="P221" i="59"/>
  <c r="R221" i="59" s="1"/>
  <c r="P215" i="59"/>
  <c r="R215" i="59" s="1"/>
  <c r="P209" i="59"/>
  <c r="R209" i="59" s="1"/>
  <c r="P203" i="59"/>
  <c r="R203" i="59" s="1"/>
  <c r="P197" i="59"/>
  <c r="R197" i="59" s="1"/>
  <c r="P191" i="59"/>
  <c r="R191" i="59" s="1"/>
  <c r="P185" i="59"/>
  <c r="R185" i="59" s="1"/>
  <c r="P179" i="59"/>
  <c r="R179" i="59" s="1"/>
  <c r="P173" i="59"/>
  <c r="P167" i="59"/>
  <c r="R167" i="59" s="1"/>
  <c r="P161" i="59"/>
  <c r="R161" i="59" s="1"/>
  <c r="P155" i="59"/>
  <c r="R155" i="59" s="1"/>
  <c r="P149" i="59"/>
  <c r="R149" i="59" s="1"/>
  <c r="P143" i="59"/>
  <c r="R143" i="59" s="1"/>
  <c r="P137" i="59"/>
  <c r="R137" i="59" s="1"/>
  <c r="P131" i="59"/>
  <c r="R131" i="59" s="1"/>
  <c r="P125" i="59"/>
  <c r="R125" i="59" s="1"/>
  <c r="P119" i="59"/>
  <c r="R119" i="59" s="1"/>
  <c r="P113" i="59"/>
  <c r="P107" i="59"/>
  <c r="R107" i="59" s="1"/>
  <c r="P101" i="59"/>
  <c r="R101" i="59" s="1"/>
  <c r="P95" i="59"/>
  <c r="R95" i="59" s="1"/>
  <c r="P89" i="59"/>
  <c r="R89" i="59" s="1"/>
  <c r="P83" i="59"/>
  <c r="R83" i="59" s="1"/>
  <c r="P77" i="59"/>
  <c r="P71" i="59"/>
  <c r="R71" i="59" s="1"/>
  <c r="P65" i="59"/>
  <c r="R65" i="59" s="1"/>
  <c r="P59" i="59"/>
  <c r="P53" i="59"/>
  <c r="R53" i="59" s="1"/>
  <c r="P47" i="59"/>
  <c r="R47" i="59" s="1"/>
  <c r="P41" i="59"/>
  <c r="R41" i="59" s="1"/>
  <c r="P35" i="59"/>
  <c r="R35" i="59" s="1"/>
  <c r="P29" i="59"/>
  <c r="R29" i="59" s="1"/>
  <c r="P23" i="59"/>
  <c r="R23" i="59" s="1"/>
  <c r="P17" i="59"/>
  <c r="R17" i="59" s="1"/>
  <c r="R11" i="59"/>
  <c r="P5" i="59"/>
  <c r="R5" i="59" s="1"/>
  <c r="P268" i="59"/>
  <c r="R268" i="59" s="1"/>
  <c r="P262" i="59"/>
  <c r="R262" i="59" s="1"/>
  <c r="P256" i="59"/>
  <c r="R256" i="59" s="1"/>
  <c r="P250" i="59"/>
  <c r="R250" i="59" s="1"/>
  <c r="P244" i="59"/>
  <c r="R244" i="59" s="1"/>
  <c r="P238" i="59"/>
  <c r="R238" i="59" s="1"/>
  <c r="P232" i="59"/>
  <c r="R232" i="59" s="1"/>
  <c r="P226" i="59"/>
  <c r="R226" i="59" s="1"/>
  <c r="P220" i="59"/>
  <c r="R220" i="59" s="1"/>
  <c r="P214" i="59"/>
  <c r="R214" i="59" s="1"/>
  <c r="P208" i="59"/>
  <c r="R208" i="59" s="1"/>
  <c r="P202" i="59"/>
  <c r="R202" i="59" s="1"/>
  <c r="P196" i="59"/>
  <c r="R196" i="59" s="1"/>
  <c r="P190" i="59"/>
  <c r="R190" i="59" s="1"/>
  <c r="P184" i="59"/>
  <c r="R184" i="59" s="1"/>
  <c r="P178" i="59"/>
  <c r="P172" i="59"/>
  <c r="R172" i="59" s="1"/>
  <c r="P166" i="59"/>
  <c r="R166" i="59" s="1"/>
  <c r="P160" i="59"/>
  <c r="P154" i="59"/>
  <c r="R154" i="59" s="1"/>
  <c r="P148" i="59"/>
  <c r="R148" i="59" s="1"/>
  <c r="P142" i="59"/>
  <c r="R142" i="59" s="1"/>
  <c r="P136" i="59"/>
  <c r="R136" i="59" s="1"/>
  <c r="P130" i="59"/>
  <c r="R130" i="59" s="1"/>
  <c r="P124" i="59"/>
  <c r="R124" i="59" s="1"/>
  <c r="P118" i="59"/>
  <c r="P112" i="59"/>
  <c r="R112" i="59" s="1"/>
  <c r="P106" i="59"/>
  <c r="R106" i="59" s="1"/>
  <c r="P100" i="59"/>
  <c r="P94" i="59"/>
  <c r="R94" i="59" s="1"/>
  <c r="P88" i="59"/>
  <c r="P82" i="59"/>
  <c r="R82" i="59" s="1"/>
  <c r="P76" i="59"/>
  <c r="R76" i="59" s="1"/>
  <c r="P70" i="59"/>
  <c r="R70" i="59" s="1"/>
  <c r="P64" i="59"/>
  <c r="R64" i="59" s="1"/>
  <c r="P58" i="59"/>
  <c r="R58" i="59" s="1"/>
  <c r="P52" i="59"/>
  <c r="R52" i="59" s="1"/>
  <c r="P46" i="59"/>
  <c r="R46" i="59" s="1"/>
  <c r="P40" i="59"/>
  <c r="R40" i="59" s="1"/>
  <c r="P34" i="59"/>
  <c r="P28" i="59"/>
  <c r="R28" i="59" s="1"/>
  <c r="P22" i="59"/>
  <c r="R22" i="59" s="1"/>
  <c r="P16" i="59"/>
  <c r="R16" i="59" s="1"/>
  <c r="R10" i="59"/>
  <c r="P4" i="59"/>
  <c r="R4" i="59" s="1"/>
  <c r="P267" i="59"/>
  <c r="R267" i="59" s="1"/>
  <c r="P261" i="59"/>
  <c r="R261" i="59" s="1"/>
  <c r="P255" i="59"/>
  <c r="R255" i="59" s="1"/>
  <c r="P249" i="59"/>
  <c r="R249" i="59" s="1"/>
  <c r="P243" i="59"/>
  <c r="R243" i="59" s="1"/>
  <c r="P237" i="59"/>
  <c r="P231" i="59"/>
  <c r="R231" i="59" s="1"/>
  <c r="P225" i="59"/>
  <c r="R225" i="59" s="1"/>
  <c r="P219" i="59"/>
  <c r="R219" i="59" s="1"/>
  <c r="P213" i="59"/>
  <c r="R213" i="59" s="1"/>
  <c r="P207" i="59"/>
  <c r="R207" i="59" s="1"/>
  <c r="P201" i="59"/>
  <c r="R201" i="59" s="1"/>
  <c r="P195" i="59"/>
  <c r="R195" i="59" s="1"/>
  <c r="P189" i="59"/>
  <c r="R189" i="59" s="1"/>
  <c r="P183" i="59"/>
  <c r="R183" i="59" s="1"/>
  <c r="P177" i="59"/>
  <c r="R177" i="59" s="1"/>
  <c r="P171" i="59"/>
  <c r="R171" i="59" s="1"/>
  <c r="P165" i="59"/>
  <c r="R165" i="59" s="1"/>
  <c r="P159" i="59"/>
  <c r="P153" i="59"/>
  <c r="R153" i="59" s="1"/>
  <c r="P147" i="59"/>
  <c r="R147" i="59" s="1"/>
  <c r="P141" i="59"/>
  <c r="P135" i="59"/>
  <c r="P129" i="59"/>
  <c r="R129" i="59" s="1"/>
  <c r="P123" i="59"/>
  <c r="P117" i="59"/>
  <c r="R117" i="59" s="1"/>
  <c r="P111" i="59"/>
  <c r="R111" i="59" s="1"/>
  <c r="P105" i="59"/>
  <c r="R105" i="59" s="1"/>
  <c r="P99" i="59"/>
  <c r="R99" i="59" s="1"/>
  <c r="P93" i="59"/>
  <c r="R93" i="59" s="1"/>
  <c r="P87" i="59"/>
  <c r="R87" i="59" s="1"/>
  <c r="P81" i="59"/>
  <c r="R81" i="59" s="1"/>
  <c r="P75" i="59"/>
  <c r="R75" i="59" s="1"/>
  <c r="P69" i="59"/>
  <c r="R69" i="59" s="1"/>
  <c r="P63" i="59"/>
  <c r="R63" i="59" s="1"/>
  <c r="P57" i="59"/>
  <c r="R57" i="59" s="1"/>
  <c r="P51" i="59"/>
  <c r="R51" i="59" s="1"/>
  <c r="P45" i="59"/>
  <c r="P39" i="59"/>
  <c r="R39" i="59" s="1"/>
  <c r="P33" i="59"/>
  <c r="R33" i="59" s="1"/>
  <c r="P27" i="59"/>
  <c r="R27" i="59" s="1"/>
  <c r="R21" i="59"/>
  <c r="P15" i="59"/>
  <c r="R15" i="59" s="1"/>
  <c r="P9" i="59"/>
  <c r="P3" i="59"/>
  <c r="Y181" i="59"/>
  <c r="X181" i="59"/>
  <c r="W181" i="59"/>
  <c r="V181" i="59"/>
  <c r="U181" i="59"/>
  <c r="T181" i="59"/>
  <c r="R181" i="59" l="1"/>
  <c r="R174" i="59"/>
  <c r="R160" i="59"/>
  <c r="R237" i="59"/>
  <c r="R135" i="59"/>
  <c r="R118" i="59"/>
  <c r="R134" i="59"/>
  <c r="R45" i="59"/>
  <c r="R36" i="59"/>
  <c r="R246" i="59"/>
  <c r="R123" i="59"/>
  <c r="R239" i="59"/>
  <c r="R114" i="59"/>
  <c r="R48" i="59"/>
  <c r="R264" i="59"/>
  <c r="R158" i="59"/>
  <c r="R230" i="59"/>
  <c r="R74" i="59"/>
  <c r="R173" i="59"/>
  <c r="R141" i="59"/>
  <c r="R88" i="59"/>
  <c r="R126" i="59"/>
  <c r="R198" i="59"/>
  <c r="R145" i="59"/>
  <c r="R164" i="59"/>
  <c r="R80" i="59"/>
  <c r="R3" i="59"/>
  <c r="R113" i="59"/>
  <c r="R60" i="59"/>
  <c r="R204" i="59"/>
  <c r="R13" i="59"/>
  <c r="R104" i="59"/>
  <c r="R100" i="59"/>
  <c r="R159" i="59"/>
  <c r="R34" i="59"/>
  <c r="R178" i="59"/>
  <c r="R182" i="59"/>
  <c r="R254" i="59"/>
  <c r="R180" i="59"/>
  <c r="R9" i="59"/>
  <c r="R66" i="59"/>
  <c r="R188" i="59"/>
  <c r="R168" i="59"/>
  <c r="E30" i="61"/>
  <c r="R59" i="59"/>
  <c r="R18" i="59"/>
  <c r="R77" i="59"/>
  <c r="R7" i="59"/>
  <c r="R144" i="59"/>
  <c r="R2" i="59"/>
  <c r="Q2" i="59"/>
  <c r="X42" i="44"/>
  <c r="W4" i="48"/>
  <c r="W5" i="48"/>
  <c r="W6" i="48"/>
  <c r="W9" i="44"/>
  <c r="W10" i="44"/>
  <c r="W11" i="44"/>
  <c r="W63" i="52"/>
  <c r="U63" i="52"/>
  <c r="T63" i="52"/>
  <c r="M14" i="48"/>
  <c r="Y12" i="48"/>
  <c r="W11" i="48"/>
  <c r="U11" i="48"/>
  <c r="T11" i="48"/>
  <c r="V63" i="52" l="1"/>
  <c r="V11" i="48"/>
  <c r="O250" i="59" a="1"/>
  <c r="O32" i="59" a="1"/>
  <c r="O118" i="59" a="1"/>
  <c r="O113" i="59" a="1"/>
  <c r="O260" i="59" a="1"/>
  <c r="O49" i="59" a="1"/>
  <c r="O266" i="59" a="1"/>
  <c r="O169" i="59" a="1"/>
  <c r="O55" i="59" a="1"/>
  <c r="O190" i="59" a="1"/>
  <c r="O129" i="59" a="1"/>
  <c r="O20" i="59" a="1"/>
  <c r="O65" i="59" a="1"/>
  <c r="O19" i="59" a="1"/>
  <c r="O136" i="59" a="1"/>
  <c r="O40" i="59" a="1"/>
  <c r="O30" i="59" a="1"/>
  <c r="O248" i="59" a="1"/>
  <c r="O257" i="59" a="1"/>
  <c r="O132" i="59" a="1"/>
  <c r="O89" i="59" a="1"/>
  <c r="O127" i="59" a="1"/>
  <c r="O95" i="59" a="1"/>
  <c r="O167" i="59" a="1"/>
  <c r="O253" i="59" a="1"/>
  <c r="O212" i="59" a="1"/>
  <c r="O88" i="59" a="1"/>
  <c r="O192" i="59" a="1"/>
  <c r="O3" i="59" a="1"/>
  <c r="O161" i="59" a="1"/>
  <c r="O261" i="59" a="1"/>
  <c r="O233" i="59" a="1"/>
  <c r="O39" i="59" a="1"/>
  <c r="O256" i="59" a="1"/>
  <c r="O86" i="59" a="1"/>
  <c r="O140" i="59" a="1"/>
  <c r="O33" i="59" a="1"/>
  <c r="O243" i="59" a="1"/>
  <c r="O219" i="59" a="1"/>
  <c r="O94" i="59" a="1"/>
  <c r="O255" i="59" a="1"/>
  <c r="O22" i="59" a="1"/>
  <c r="O258" i="59" a="1"/>
  <c r="O27" i="59" a="1"/>
  <c r="O76" i="59" a="1"/>
  <c r="O150" i="59" a="1"/>
  <c r="O246" i="59" a="1"/>
  <c r="O110" i="59" a="1"/>
  <c r="O220" i="59" a="1"/>
  <c r="O79" i="59" a="1"/>
  <c r="K181" i="59" a="1"/>
  <c r="O206" i="59" a="1"/>
  <c r="O64" i="59" a="1"/>
  <c r="O178" i="59" a="1"/>
  <c r="O154" i="59" a="1"/>
  <c r="O99" i="59" a="1"/>
  <c r="O155" i="59" a="1"/>
  <c r="O125" i="59" a="1"/>
  <c r="O157" i="59" a="1"/>
  <c r="O211" i="59" a="1"/>
  <c r="O149" i="59" a="1"/>
  <c r="O67" i="59" a="1"/>
  <c r="O216" i="59" a="1"/>
  <c r="O16" i="59" a="1"/>
  <c r="O60" i="59" a="1"/>
  <c r="O227" i="59" a="1"/>
  <c r="O59" i="59" a="1"/>
  <c r="O92" i="59" a="1"/>
  <c r="O23" i="59" a="1"/>
  <c r="O38" i="59" a="1"/>
  <c r="O174" i="59" a="1"/>
  <c r="O170" i="59" a="1"/>
  <c r="O78" i="59" a="1"/>
  <c r="O11" i="59" a="1"/>
  <c r="O34" i="59" a="1"/>
  <c r="O57" i="59" a="1"/>
  <c r="O215" i="59" a="1"/>
  <c r="O267" i="59" a="1"/>
  <c r="N13" i="59" a="1"/>
  <c r="O36" i="59" a="1"/>
  <c r="O228" i="59" a="1"/>
  <c r="O237" i="59" a="1"/>
  <c r="O151" i="59" a="1"/>
  <c r="O63" i="59" a="1"/>
  <c r="O54" i="59" a="1"/>
  <c r="O114" i="59" a="1"/>
  <c r="O123" i="59" a="1"/>
  <c r="O31" i="59" a="1"/>
  <c r="O28" i="59" a="1"/>
  <c r="O234" i="59" a="1"/>
  <c r="O15" i="59" a="1"/>
  <c r="O254" i="59" a="1"/>
  <c r="O26" i="59" a="1"/>
  <c r="O10" i="59" a="1"/>
  <c r="O80" i="59" a="1"/>
  <c r="O213" i="59" a="1"/>
  <c r="O45" i="59" a="1"/>
  <c r="O72" i="59" a="1"/>
  <c r="O135" i="59" a="1"/>
  <c r="O138" i="59" a="1"/>
  <c r="O272" i="59" a="1"/>
  <c r="O146" i="59" a="1"/>
  <c r="O244" i="59" a="1"/>
  <c r="O42" i="59" a="1"/>
  <c r="O175" i="59" a="1"/>
  <c r="O177" i="59" a="1"/>
  <c r="O120" i="59" a="1"/>
  <c r="O264" i="59" a="1"/>
  <c r="O7" i="59" a="1"/>
  <c r="O137" i="59" a="1"/>
  <c r="O131" i="59" a="1"/>
  <c r="O241" i="59" a="1"/>
  <c r="O37" i="59" a="1"/>
  <c r="O183" i="59" a="1"/>
  <c r="O226" i="59" a="1"/>
  <c r="O159" i="59" a="1"/>
  <c r="O158" i="59" a="1"/>
  <c r="O232" i="59" a="1"/>
  <c r="O21" i="59" a="1"/>
  <c r="O128" i="59" a="1"/>
  <c r="O162" i="59" a="1"/>
  <c r="J181" i="59" a="1"/>
  <c r="O50" i="59" a="1"/>
  <c r="O186" i="59" a="1"/>
  <c r="O62" i="59" a="1"/>
  <c r="O222" i="59" a="1"/>
  <c r="O58" i="59" a="1"/>
  <c r="O25" i="59" a="1"/>
  <c r="O5" i="59" a="1"/>
  <c r="O235" i="59" a="1"/>
  <c r="O223" i="59" a="1"/>
  <c r="O142" i="59" a="1"/>
  <c r="O68" i="59" a="1"/>
  <c r="O210" i="59" a="1"/>
  <c r="M181" i="59" a="1"/>
  <c r="O124" i="59" a="1"/>
  <c r="O160" i="59" a="1"/>
  <c r="O130" i="59" a="1"/>
  <c r="O117" i="59" a="1"/>
  <c r="O147" i="59" a="1"/>
  <c r="O171" i="59" a="1"/>
  <c r="O184" i="59" a="1"/>
  <c r="O194" i="59" a="1"/>
  <c r="O208" i="59" a="1"/>
  <c r="O196" i="59" a="1"/>
  <c r="O109" i="59" a="1"/>
  <c r="O93" i="59" a="1"/>
  <c r="O47" i="59" a="1"/>
  <c r="O98" i="59" a="1"/>
  <c r="O236" i="59" a="1"/>
  <c r="O87" i="59" a="1"/>
  <c r="O176" i="59" a="1"/>
  <c r="O251" i="59" a="1"/>
  <c r="O18" i="59" a="1"/>
  <c r="O204" i="59" a="1"/>
  <c r="O202" i="59" a="1"/>
  <c r="O156" i="59" a="1"/>
  <c r="O139" i="59" a="1"/>
  <c r="O187" i="59" a="1"/>
  <c r="O214" i="59" a="1"/>
  <c r="O195" i="59" a="1"/>
  <c r="O66" i="59" a="1"/>
  <c r="O97" i="59" a="1"/>
  <c r="O188" i="59" a="1"/>
  <c r="O96" i="59" a="1"/>
  <c r="O71" i="59" a="1"/>
  <c r="O73" i="59" a="1"/>
  <c r="O91" i="59" a="1"/>
  <c r="O165" i="59" a="1"/>
  <c r="O205" i="59" a="1"/>
  <c r="N181" i="59" a="1"/>
  <c r="O112" i="59" a="1"/>
  <c r="O252" i="59" a="1"/>
  <c r="O53" i="59" a="1"/>
  <c r="O35" i="59" a="1"/>
  <c r="O48" i="59" a="1"/>
  <c r="O200" i="59" a="1"/>
  <c r="L181" i="59" a="1"/>
  <c r="O12" i="59" a="1"/>
  <c r="O231" i="59" a="1"/>
  <c r="O81" i="59" a="1"/>
  <c r="O105" i="59" a="1"/>
  <c r="O203" i="59" a="1"/>
  <c r="O168" i="59" a="1"/>
  <c r="O14" i="59" a="1"/>
  <c r="O265" i="59" a="1"/>
  <c r="O13" i="59" a="1"/>
  <c r="O4" i="59" a="1"/>
  <c r="O180" i="59" a="1"/>
  <c r="O209" i="59" a="1"/>
  <c r="O133" i="59" a="1"/>
  <c r="O29" i="59" a="1"/>
  <c r="O152" i="59" a="1"/>
  <c r="O102" i="59" a="1"/>
  <c r="O259" i="59" a="1"/>
  <c r="O179" i="59" a="1"/>
  <c r="O230" i="59" a="1"/>
  <c r="O249" i="59" a="1"/>
  <c r="O143" i="59" a="1"/>
  <c r="O2" i="59" a="1"/>
  <c r="O85" i="59" a="1"/>
  <c r="O82" i="59" a="1"/>
  <c r="O44" i="59" a="1"/>
  <c r="O121" i="59" a="1"/>
  <c r="O101" i="59" a="1"/>
  <c r="O217" i="59" a="1"/>
  <c r="O17" i="59" a="1"/>
  <c r="O207" i="59" a="1"/>
  <c r="O164" i="59" a="1"/>
  <c r="O43" i="59" a="1"/>
  <c r="O247" i="59" a="1"/>
  <c r="O84" i="59" a="1"/>
  <c r="O268" i="59" a="1"/>
  <c r="O240" i="59" a="1"/>
  <c r="O100" i="59" a="1"/>
  <c r="H181" i="59" a="1"/>
  <c r="O148" i="59" a="1"/>
  <c r="O8" i="59" a="1"/>
  <c r="O181" i="59" a="1"/>
  <c r="O46" i="59" a="1"/>
  <c r="O201" i="59" a="1"/>
  <c r="O172" i="59" a="1"/>
  <c r="O262" i="59" a="1"/>
  <c r="O116" i="59" a="1"/>
  <c r="O153" i="59" a="1"/>
  <c r="O229" i="59" a="1"/>
  <c r="O239" i="59" a="1"/>
  <c r="I181" i="59" a="1"/>
  <c r="O52" i="59" a="1"/>
  <c r="O173" i="59" a="1"/>
  <c r="O185" i="59" a="1"/>
  <c r="O77" i="59" a="1"/>
  <c r="O69" i="59" a="1"/>
  <c r="O271" i="59" a="1"/>
  <c r="O74" i="59" a="1"/>
  <c r="O189" i="59" a="1"/>
  <c r="O9" i="59" a="1"/>
  <c r="O193" i="59" a="1"/>
  <c r="O106" i="59" a="1"/>
  <c r="O263" i="59" a="1"/>
  <c r="O199" i="59" a="1"/>
  <c r="O104" i="59" a="1"/>
  <c r="O90" i="59" a="1"/>
  <c r="O145" i="59" a="1"/>
  <c r="O221" i="59" a="1"/>
  <c r="O166" i="59" a="1"/>
  <c r="O198" i="59" a="1"/>
  <c r="O225" i="59" a="1"/>
  <c r="O75" i="59" a="1"/>
  <c r="O108" i="59" a="1"/>
  <c r="O242" i="59" a="1"/>
  <c r="O61" i="59" a="1"/>
  <c r="O163" i="59" a="1"/>
  <c r="O122" i="59" a="1"/>
  <c r="O51" i="59" a="1"/>
  <c r="O6" i="59" a="1"/>
  <c r="O41" i="59" a="1"/>
  <c r="O103" i="59" a="1"/>
  <c r="O56" i="59" a="1"/>
  <c r="O144" i="59" a="1"/>
  <c r="O119" i="59" a="1"/>
  <c r="O134" i="59" a="1"/>
  <c r="O107" i="59" a="1"/>
  <c r="O238" i="59" a="1"/>
  <c r="O115" i="59" a="1"/>
  <c r="G181" i="59" a="1"/>
  <c r="O182" i="59" a="1"/>
  <c r="O83" i="59" a="1"/>
  <c r="O218" i="59" a="1"/>
  <c r="O245" i="59" a="1"/>
  <c r="O111" i="59" a="1"/>
  <c r="O197" i="59" a="1"/>
  <c r="O24" i="59" a="1"/>
  <c r="O70" i="59" a="1"/>
  <c r="O191" i="59" a="1"/>
  <c r="O224" i="59" a="1"/>
  <c r="O141" i="59" a="1"/>
  <c r="O126" i="59" a="1"/>
  <c r="O183" i="59" l="1"/>
  <c r="O260" i="59"/>
  <c r="O53" i="59"/>
  <c r="O238" i="59"/>
  <c r="O239" i="59"/>
  <c r="Q261" i="59"/>
  <c r="O108" i="59"/>
  <c r="N13" i="59"/>
  <c r="O16" i="59"/>
  <c r="O207" i="59"/>
  <c r="O115" i="59"/>
  <c r="O217" i="59"/>
  <c r="O35" i="59"/>
  <c r="O111" i="59"/>
  <c r="O172" i="59"/>
  <c r="O37" i="59"/>
  <c r="Q263" i="59"/>
  <c r="O136" i="59"/>
  <c r="O63" i="59"/>
  <c r="O2" i="59"/>
  <c r="O248" i="59"/>
  <c r="O29" i="59"/>
  <c r="O218" i="59"/>
  <c r="O156" i="59"/>
  <c r="O144" i="59"/>
  <c r="O150" i="59"/>
  <c r="O52" i="59"/>
  <c r="O149" i="59"/>
  <c r="O257" i="59"/>
  <c r="O60" i="59"/>
  <c r="O13" i="59"/>
  <c r="O185" i="59"/>
  <c r="O243" i="59"/>
  <c r="O99" i="59"/>
  <c r="O252" i="59"/>
  <c r="O135" i="59"/>
  <c r="O121" i="59"/>
  <c r="Q271" i="59"/>
  <c r="O140" i="59"/>
  <c r="O59" i="59"/>
  <c r="O79" i="59"/>
  <c r="O204" i="59"/>
  <c r="O153" i="59"/>
  <c r="O173" i="59"/>
  <c r="O263" i="59"/>
  <c r="O9" i="59"/>
  <c r="O227" i="59"/>
  <c r="O179" i="59"/>
  <c r="O208" i="59"/>
  <c r="Q259" i="59"/>
  <c r="O226" i="59"/>
  <c r="O10" i="59"/>
  <c r="O250" i="59"/>
  <c r="O93" i="59"/>
  <c r="O40" i="59"/>
  <c r="O55" i="59"/>
  <c r="O66" i="59"/>
  <c r="O96" i="59"/>
  <c r="O112" i="59"/>
  <c r="O39" i="59"/>
  <c r="O145" i="59"/>
  <c r="O246" i="59"/>
  <c r="Q269" i="59"/>
  <c r="O146" i="59"/>
  <c r="O127" i="59"/>
  <c r="O139" i="59"/>
  <c r="O90" i="59"/>
  <c r="O203" i="59"/>
  <c r="O107" i="59"/>
  <c r="O73" i="59"/>
  <c r="O147" i="59"/>
  <c r="O88" i="59"/>
  <c r="O114" i="59"/>
  <c r="O12" i="59"/>
  <c r="O123" i="59"/>
  <c r="O195" i="59"/>
  <c r="O124" i="59"/>
  <c r="O43" i="59"/>
  <c r="O230" i="59"/>
  <c r="O254" i="59"/>
  <c r="O26" i="59"/>
  <c r="O95" i="59"/>
  <c r="O241" i="59"/>
  <c r="O81" i="59"/>
  <c r="Q267" i="59"/>
  <c r="O240" i="59"/>
  <c r="O134" i="59"/>
  <c r="O165" i="59"/>
  <c r="O32" i="59"/>
  <c r="O221" i="59"/>
  <c r="O262" i="59"/>
  <c r="O249" i="59"/>
  <c r="O42" i="59"/>
  <c r="O7" i="59"/>
  <c r="O67" i="59"/>
  <c r="O220" i="59"/>
  <c r="O118" i="59"/>
  <c r="O224" i="59"/>
  <c r="O85" i="59"/>
  <c r="O57" i="59"/>
  <c r="O181" i="59"/>
  <c r="O133" i="59"/>
  <c r="O74" i="59"/>
  <c r="O89" i="59"/>
  <c r="O256" i="59"/>
  <c r="O264" i="59"/>
  <c r="O87" i="59"/>
  <c r="O206" i="59"/>
  <c r="O49" i="59"/>
  <c r="O198" i="59"/>
  <c r="O143" i="59"/>
  <c r="O77" i="59"/>
  <c r="O210" i="59"/>
  <c r="O72" i="59"/>
  <c r="O212" i="59"/>
  <c r="O22" i="59"/>
  <c r="O261" i="59"/>
  <c r="O161" i="59"/>
  <c r="O209" i="59"/>
  <c r="O167" i="59"/>
  <c r="O187" i="59"/>
  <c r="O216" i="59"/>
  <c r="O64" i="59"/>
  <c r="O38" i="59"/>
  <c r="O196" i="59"/>
  <c r="O94" i="59"/>
  <c r="O157" i="59"/>
  <c r="O234" i="59"/>
  <c r="O82" i="59"/>
  <c r="O131" i="59"/>
  <c r="O162" i="59"/>
  <c r="O202" i="59"/>
  <c r="O159" i="59"/>
  <c r="O163" i="59"/>
  <c r="O6" i="59"/>
  <c r="O236" i="59"/>
  <c r="O258" i="59"/>
  <c r="O180" i="59"/>
  <c r="O125" i="59"/>
  <c r="O168" i="59"/>
  <c r="O5" i="59"/>
  <c r="O265" i="59"/>
  <c r="O34" i="59"/>
  <c r="O130" i="59"/>
  <c r="O152" i="59"/>
  <c r="O51" i="59"/>
  <c r="O101" i="59"/>
  <c r="O21" i="59"/>
  <c r="O54" i="59"/>
  <c r="O166" i="59"/>
  <c r="O47" i="59"/>
  <c r="O174" i="59"/>
  <c r="O46" i="59"/>
  <c r="O267" i="59"/>
  <c r="O14" i="59"/>
  <c r="O103" i="59"/>
  <c r="O98" i="59"/>
  <c r="O175" i="59"/>
  <c r="O137" i="59"/>
  <c r="O100" i="59"/>
  <c r="O41" i="59"/>
  <c r="O215" i="59"/>
  <c r="O68" i="59"/>
  <c r="O44" i="59"/>
  <c r="O182" i="59"/>
  <c r="O211" i="59"/>
  <c r="O223" i="59"/>
  <c r="O192" i="59"/>
  <c r="O171" i="59"/>
  <c r="O222" i="59"/>
  <c r="O155" i="59"/>
  <c r="O30" i="59"/>
  <c r="O188" i="59"/>
  <c r="Q266" i="59"/>
  <c r="O201" i="59"/>
  <c r="O119" i="59"/>
  <c r="O205" i="59"/>
  <c r="O86" i="59"/>
  <c r="O253" i="59"/>
  <c r="O18" i="59"/>
  <c r="Q264" i="59"/>
  <c r="O113" i="59"/>
  <c r="Q262" i="59"/>
  <c r="O178" i="59"/>
  <c r="O25" i="59"/>
  <c r="O15" i="59"/>
  <c r="O214" i="59"/>
  <c r="O268" i="59"/>
  <c r="O31" i="59"/>
  <c r="O62" i="59"/>
  <c r="O65" i="59"/>
  <c r="O170" i="59"/>
  <c r="O247" i="59"/>
  <c r="O255" i="59"/>
  <c r="O141" i="59"/>
  <c r="O191" i="59"/>
  <c r="O110" i="59"/>
  <c r="O28" i="59"/>
  <c r="O271" i="59"/>
  <c r="Q265" i="59"/>
  <c r="O126" i="59"/>
  <c r="O200" i="59"/>
  <c r="O104" i="59"/>
  <c r="Q270" i="59"/>
  <c r="O56" i="59"/>
  <c r="O169" i="59"/>
  <c r="O109" i="59"/>
  <c r="Q268" i="59"/>
  <c r="O132" i="59"/>
  <c r="O45" i="59"/>
  <c r="O154" i="59"/>
  <c r="O19" i="59"/>
  <c r="O8" i="59"/>
  <c r="O17" i="59"/>
  <c r="O237" i="59"/>
  <c r="O148" i="59"/>
  <c r="O233" i="59"/>
  <c r="O244" i="59"/>
  <c r="O142" i="59"/>
  <c r="O97" i="59"/>
  <c r="O189" i="59"/>
  <c r="O120" i="59"/>
  <c r="O138" i="59"/>
  <c r="O75" i="59"/>
  <c r="O4" i="59"/>
  <c r="O117" i="59"/>
  <c r="O128" i="59"/>
  <c r="O92" i="59"/>
  <c r="O33" i="59"/>
  <c r="O232" i="59"/>
  <c r="O184" i="59"/>
  <c r="O197" i="59"/>
  <c r="O50" i="59"/>
  <c r="O213" i="59"/>
  <c r="O58" i="59"/>
  <c r="O272" i="59"/>
  <c r="O193" i="59"/>
  <c r="O24" i="59"/>
  <c r="O61" i="59"/>
  <c r="O48" i="59"/>
  <c r="O266" i="59"/>
  <c r="O231" i="59"/>
  <c r="O225" i="59"/>
  <c r="O106" i="59"/>
  <c r="O235" i="59"/>
  <c r="O245" i="59"/>
  <c r="Q272" i="59"/>
  <c r="O160" i="59"/>
  <c r="O83" i="59"/>
  <c r="O70" i="59"/>
  <c r="O199" i="59"/>
  <c r="O177" i="59"/>
  <c r="O71" i="59"/>
  <c r="O151" i="59"/>
  <c r="O164" i="59"/>
  <c r="O84" i="59"/>
  <c r="O251" i="59"/>
  <c r="O27" i="59"/>
  <c r="O129" i="59"/>
  <c r="O176" i="59"/>
  <c r="O186" i="59"/>
  <c r="O259" i="59"/>
  <c r="O76" i="59"/>
  <c r="Q260" i="59"/>
  <c r="O80" i="59"/>
  <c r="O11" i="59"/>
  <c r="O116" i="59"/>
  <c r="O219" i="59"/>
  <c r="O158" i="59"/>
  <c r="O102" i="59"/>
  <c r="O105" i="59"/>
  <c r="O20" i="59"/>
  <c r="O242" i="59"/>
  <c r="O78" i="59"/>
  <c r="O194" i="59"/>
  <c r="O229" i="59"/>
  <c r="O23" i="59"/>
  <c r="O3" i="59"/>
  <c r="O36" i="59"/>
  <c r="O228" i="59"/>
  <c r="O69" i="59"/>
  <c r="O190" i="59"/>
  <c r="O91" i="59"/>
  <c r="O122" i="59"/>
  <c r="G181" i="59"/>
  <c r="N181" i="59"/>
  <c r="H181" i="59"/>
  <c r="J181" i="59"/>
  <c r="I181" i="59"/>
  <c r="L181" i="59"/>
  <c r="M181" i="59"/>
  <c r="K181" i="59"/>
  <c r="N18" i="14"/>
  <c r="H21" i="14" s="1"/>
  <c r="U73" i="59"/>
  <c r="V152" i="59"/>
  <c r="M99" i="52"/>
  <c r="D36" i="61"/>
  <c r="N35" i="61"/>
  <c r="D35" i="61"/>
  <c r="N34" i="61"/>
  <c r="D34" i="61"/>
  <c r="N33" i="61"/>
  <c r="D33" i="61"/>
  <c r="N32" i="61"/>
  <c r="D32" i="61"/>
  <c r="N31" i="61"/>
  <c r="D31" i="61"/>
  <c r="N30" i="61"/>
  <c r="D30" i="61"/>
  <c r="D29" i="61"/>
  <c r="N28" i="61"/>
  <c r="D28" i="61"/>
  <c r="D27" i="61"/>
  <c r="D26" i="61"/>
  <c r="N25" i="61"/>
  <c r="D25" i="61"/>
  <c r="N24" i="61"/>
  <c r="D24" i="61"/>
  <c r="D23" i="61"/>
  <c r="N22" i="61"/>
  <c r="D22" i="61"/>
  <c r="D21" i="61"/>
  <c r="D19" i="61"/>
  <c r="D18" i="61"/>
  <c r="N17" i="61"/>
  <c r="D17" i="61"/>
  <c r="D16" i="61"/>
  <c r="D15" i="61"/>
  <c r="N14" i="61"/>
  <c r="N12" i="61" s="1"/>
  <c r="D14" i="61"/>
  <c r="D13" i="61"/>
  <c r="D11" i="61"/>
  <c r="N10" i="61"/>
  <c r="D10" i="61"/>
  <c r="N9" i="61"/>
  <c r="D9" i="61"/>
  <c r="N8" i="61"/>
  <c r="D8" i="61"/>
  <c r="D7" i="61"/>
  <c r="N6" i="61"/>
  <c r="D6" i="61"/>
  <c r="S36" i="61"/>
  <c r="Y272" i="59"/>
  <c r="X272" i="59"/>
  <c r="W272" i="59"/>
  <c r="V272" i="59"/>
  <c r="U272" i="59"/>
  <c r="T272" i="59"/>
  <c r="Y271" i="59"/>
  <c r="X271" i="59"/>
  <c r="W271" i="59"/>
  <c r="V271" i="59"/>
  <c r="U271" i="59"/>
  <c r="T271" i="59"/>
  <c r="Y270" i="59"/>
  <c r="X270" i="59"/>
  <c r="W270" i="59"/>
  <c r="V270" i="59"/>
  <c r="U270" i="59"/>
  <c r="T270" i="59"/>
  <c r="Y269" i="59"/>
  <c r="X269" i="59"/>
  <c r="W269" i="59"/>
  <c r="V269" i="59"/>
  <c r="U269" i="59"/>
  <c r="T269" i="59"/>
  <c r="Y268" i="59"/>
  <c r="X268" i="59"/>
  <c r="W268" i="59"/>
  <c r="V268" i="59"/>
  <c r="U268" i="59"/>
  <c r="T268" i="59"/>
  <c r="Y267" i="59"/>
  <c r="X267" i="59"/>
  <c r="W267" i="59"/>
  <c r="V267" i="59"/>
  <c r="U267" i="59"/>
  <c r="T267" i="59"/>
  <c r="Y266" i="59"/>
  <c r="X266" i="59"/>
  <c r="W266" i="59"/>
  <c r="V266" i="59"/>
  <c r="U266" i="59"/>
  <c r="T266" i="59"/>
  <c r="Y265" i="59"/>
  <c r="X265" i="59"/>
  <c r="W265" i="59"/>
  <c r="V265" i="59"/>
  <c r="U265" i="59"/>
  <c r="T265" i="59"/>
  <c r="Y264" i="59"/>
  <c r="X264" i="59"/>
  <c r="W264" i="59"/>
  <c r="V264" i="59"/>
  <c r="U264" i="59"/>
  <c r="T264" i="59"/>
  <c r="Y263" i="59"/>
  <c r="X263" i="59"/>
  <c r="W263" i="59"/>
  <c r="V263" i="59"/>
  <c r="U263" i="59"/>
  <c r="T263" i="59"/>
  <c r="Y262" i="59"/>
  <c r="X262" i="59"/>
  <c r="W262" i="59"/>
  <c r="V262" i="59"/>
  <c r="U262" i="59"/>
  <c r="T262" i="59"/>
  <c r="Y261" i="59"/>
  <c r="X261" i="59"/>
  <c r="W261" i="59"/>
  <c r="V261" i="59"/>
  <c r="U261" i="59"/>
  <c r="T261" i="59"/>
  <c r="Y260" i="59"/>
  <c r="X260" i="59"/>
  <c r="W260" i="59"/>
  <c r="V260" i="59"/>
  <c r="U260" i="59"/>
  <c r="T260" i="59"/>
  <c r="Y259" i="59"/>
  <c r="X259" i="59"/>
  <c r="W259" i="59"/>
  <c r="V259" i="59"/>
  <c r="U259" i="59"/>
  <c r="T259" i="59"/>
  <c r="Y258" i="59"/>
  <c r="X258" i="59"/>
  <c r="W258" i="59"/>
  <c r="V258" i="59"/>
  <c r="U258" i="59"/>
  <c r="T258" i="59"/>
  <c r="Y257" i="59"/>
  <c r="X257" i="59"/>
  <c r="W257" i="59"/>
  <c r="V257" i="59"/>
  <c r="U257" i="59"/>
  <c r="T257" i="59"/>
  <c r="Y256" i="59"/>
  <c r="X256" i="59"/>
  <c r="W256" i="59"/>
  <c r="V256" i="59"/>
  <c r="U256" i="59"/>
  <c r="T256" i="59"/>
  <c r="Y255" i="59"/>
  <c r="X255" i="59"/>
  <c r="W255" i="59"/>
  <c r="V255" i="59"/>
  <c r="U255" i="59"/>
  <c r="T255" i="59"/>
  <c r="Y254" i="59"/>
  <c r="X254" i="59"/>
  <c r="W254" i="59"/>
  <c r="V254" i="59"/>
  <c r="U254" i="59"/>
  <c r="T254" i="59"/>
  <c r="Y253" i="59"/>
  <c r="X253" i="59"/>
  <c r="W253" i="59"/>
  <c r="V253" i="59"/>
  <c r="U253" i="59"/>
  <c r="T253" i="59"/>
  <c r="Y252" i="59"/>
  <c r="X252" i="59"/>
  <c r="W252" i="59"/>
  <c r="V252" i="59"/>
  <c r="U252" i="59"/>
  <c r="T252" i="59"/>
  <c r="Y251" i="59"/>
  <c r="X251" i="59"/>
  <c r="W251" i="59"/>
  <c r="V251" i="59"/>
  <c r="U251" i="59"/>
  <c r="T251" i="59"/>
  <c r="Y250" i="59"/>
  <c r="X250" i="59"/>
  <c r="W250" i="59"/>
  <c r="V250" i="59"/>
  <c r="U250" i="59"/>
  <c r="T250" i="59"/>
  <c r="Y249" i="59"/>
  <c r="X249" i="59"/>
  <c r="W249" i="59"/>
  <c r="V249" i="59"/>
  <c r="U249" i="59"/>
  <c r="T249" i="59"/>
  <c r="Y248" i="59"/>
  <c r="X248" i="59"/>
  <c r="W248" i="59"/>
  <c r="V248" i="59"/>
  <c r="U248" i="59"/>
  <c r="T248" i="59"/>
  <c r="Y247" i="59"/>
  <c r="X247" i="59"/>
  <c r="W247" i="59"/>
  <c r="V247" i="59"/>
  <c r="U247" i="59"/>
  <c r="T247" i="59"/>
  <c r="Y246" i="59"/>
  <c r="X246" i="59"/>
  <c r="W246" i="59"/>
  <c r="V246" i="59"/>
  <c r="U246" i="59"/>
  <c r="T246" i="59"/>
  <c r="Y245" i="59"/>
  <c r="X245" i="59"/>
  <c r="W245" i="59"/>
  <c r="V245" i="59"/>
  <c r="U245" i="59"/>
  <c r="T245" i="59"/>
  <c r="Y244" i="59"/>
  <c r="X244" i="59"/>
  <c r="W244" i="59"/>
  <c r="V244" i="59"/>
  <c r="U244" i="59"/>
  <c r="T244" i="59"/>
  <c r="Y243" i="59"/>
  <c r="X243" i="59"/>
  <c r="W243" i="59"/>
  <c r="V243" i="59"/>
  <c r="U243" i="59"/>
  <c r="T243" i="59"/>
  <c r="Y242" i="59"/>
  <c r="X242" i="59"/>
  <c r="W242" i="59"/>
  <c r="V242" i="59"/>
  <c r="U242" i="59"/>
  <c r="T242" i="59"/>
  <c r="Y241" i="59"/>
  <c r="X241" i="59"/>
  <c r="W241" i="59"/>
  <c r="V241" i="59"/>
  <c r="U241" i="59"/>
  <c r="T241" i="59"/>
  <c r="Y240" i="59"/>
  <c r="X240" i="59"/>
  <c r="W240" i="59"/>
  <c r="V240" i="59"/>
  <c r="U240" i="59"/>
  <c r="T240" i="59"/>
  <c r="Y239" i="59"/>
  <c r="X239" i="59"/>
  <c r="W239" i="59"/>
  <c r="V239" i="59"/>
  <c r="U239" i="59"/>
  <c r="T239" i="59"/>
  <c r="Y238" i="59"/>
  <c r="X238" i="59"/>
  <c r="W238" i="59"/>
  <c r="V238" i="59"/>
  <c r="U238" i="59"/>
  <c r="T238" i="59"/>
  <c r="Y237" i="59"/>
  <c r="X237" i="59"/>
  <c r="W237" i="59"/>
  <c r="V237" i="59"/>
  <c r="U237" i="59"/>
  <c r="T237" i="59"/>
  <c r="Y236" i="59"/>
  <c r="X236" i="59"/>
  <c r="W236" i="59"/>
  <c r="V236" i="59"/>
  <c r="U236" i="59"/>
  <c r="T236" i="59"/>
  <c r="Y235" i="59"/>
  <c r="X235" i="59"/>
  <c r="W235" i="59"/>
  <c r="V235" i="59"/>
  <c r="U235" i="59"/>
  <c r="T235" i="59"/>
  <c r="Y234" i="59"/>
  <c r="X234" i="59"/>
  <c r="W234" i="59"/>
  <c r="V234" i="59"/>
  <c r="U234" i="59"/>
  <c r="T234" i="59"/>
  <c r="Y233" i="59"/>
  <c r="X233" i="59"/>
  <c r="W233" i="59"/>
  <c r="V233" i="59"/>
  <c r="U233" i="59"/>
  <c r="T233" i="59"/>
  <c r="Y232" i="59"/>
  <c r="X232" i="59"/>
  <c r="W232" i="59"/>
  <c r="V232" i="59"/>
  <c r="U232" i="59"/>
  <c r="T232" i="59"/>
  <c r="Y231" i="59"/>
  <c r="X231" i="59"/>
  <c r="W231" i="59"/>
  <c r="V231" i="59"/>
  <c r="U231" i="59"/>
  <c r="T231" i="59"/>
  <c r="Y230" i="59"/>
  <c r="X230" i="59"/>
  <c r="W230" i="59"/>
  <c r="V230" i="59"/>
  <c r="U230" i="59"/>
  <c r="T230" i="59"/>
  <c r="Y229" i="59"/>
  <c r="X229" i="59"/>
  <c r="W229" i="59"/>
  <c r="V229" i="59"/>
  <c r="U229" i="59"/>
  <c r="T229" i="59"/>
  <c r="Y228" i="59"/>
  <c r="X228" i="59"/>
  <c r="W228" i="59"/>
  <c r="V228" i="59"/>
  <c r="U228" i="59"/>
  <c r="T228" i="59"/>
  <c r="Y227" i="59"/>
  <c r="X227" i="59"/>
  <c r="W227" i="59"/>
  <c r="V227" i="59"/>
  <c r="U227" i="59"/>
  <c r="T227" i="59"/>
  <c r="Y226" i="59"/>
  <c r="X226" i="59"/>
  <c r="W226" i="59"/>
  <c r="V226" i="59"/>
  <c r="U226" i="59"/>
  <c r="T226" i="59"/>
  <c r="Y225" i="59"/>
  <c r="X225" i="59"/>
  <c r="W225" i="59"/>
  <c r="V225" i="59"/>
  <c r="U225" i="59"/>
  <c r="T225" i="59"/>
  <c r="Y224" i="59"/>
  <c r="X224" i="59"/>
  <c r="W224" i="59"/>
  <c r="V224" i="59"/>
  <c r="U224" i="59"/>
  <c r="T224" i="59"/>
  <c r="Y223" i="59"/>
  <c r="X223" i="59"/>
  <c r="W223" i="59"/>
  <c r="V223" i="59"/>
  <c r="U223" i="59"/>
  <c r="T223" i="59"/>
  <c r="Y222" i="59"/>
  <c r="X222" i="59"/>
  <c r="W222" i="59"/>
  <c r="V222" i="59"/>
  <c r="U222" i="59"/>
  <c r="T222" i="59"/>
  <c r="Y221" i="59"/>
  <c r="X221" i="59"/>
  <c r="W221" i="59"/>
  <c r="V221" i="59"/>
  <c r="U221" i="59"/>
  <c r="T221" i="59"/>
  <c r="Y220" i="59"/>
  <c r="X220" i="59"/>
  <c r="W220" i="59"/>
  <c r="V220" i="59"/>
  <c r="U220" i="59"/>
  <c r="T220" i="59"/>
  <c r="Y219" i="59"/>
  <c r="X219" i="59"/>
  <c r="W219" i="59"/>
  <c r="V219" i="59"/>
  <c r="U219" i="59"/>
  <c r="T219" i="59"/>
  <c r="Y218" i="59"/>
  <c r="X218" i="59"/>
  <c r="W218" i="59"/>
  <c r="V218" i="59"/>
  <c r="U218" i="59"/>
  <c r="T218" i="59"/>
  <c r="Y217" i="59"/>
  <c r="X217" i="59"/>
  <c r="W217" i="59"/>
  <c r="V217" i="59"/>
  <c r="U217" i="59"/>
  <c r="T217" i="59"/>
  <c r="Y216" i="59"/>
  <c r="X216" i="59"/>
  <c r="W216" i="59"/>
  <c r="V216" i="59"/>
  <c r="U216" i="59"/>
  <c r="T216" i="59"/>
  <c r="Y215" i="59"/>
  <c r="X215" i="59"/>
  <c r="W215" i="59"/>
  <c r="V215" i="59"/>
  <c r="U215" i="59"/>
  <c r="T215" i="59"/>
  <c r="Y214" i="59"/>
  <c r="X214" i="59"/>
  <c r="W214" i="59"/>
  <c r="V214" i="59"/>
  <c r="U214" i="59"/>
  <c r="T214" i="59"/>
  <c r="Y213" i="59"/>
  <c r="X213" i="59"/>
  <c r="W213" i="59"/>
  <c r="V213" i="59"/>
  <c r="U213" i="59"/>
  <c r="T213" i="59"/>
  <c r="Y212" i="59"/>
  <c r="X212" i="59"/>
  <c r="W212" i="59"/>
  <c r="V212" i="59"/>
  <c r="U212" i="59"/>
  <c r="T212" i="59"/>
  <c r="Y211" i="59"/>
  <c r="X211" i="59"/>
  <c r="W211" i="59"/>
  <c r="V211" i="59"/>
  <c r="U211" i="59"/>
  <c r="T211" i="59"/>
  <c r="Y210" i="59"/>
  <c r="X210" i="59"/>
  <c r="W210" i="59"/>
  <c r="V210" i="59"/>
  <c r="U210" i="59"/>
  <c r="T210" i="59"/>
  <c r="Y209" i="59"/>
  <c r="X209" i="59"/>
  <c r="W209" i="59"/>
  <c r="V209" i="59"/>
  <c r="U209" i="59"/>
  <c r="T209" i="59"/>
  <c r="Y208" i="59"/>
  <c r="X208" i="59"/>
  <c r="W208" i="59"/>
  <c r="V208" i="59"/>
  <c r="U208" i="59"/>
  <c r="T208" i="59"/>
  <c r="Y207" i="59"/>
  <c r="X207" i="59"/>
  <c r="W207" i="59"/>
  <c r="V207" i="59"/>
  <c r="U207" i="59"/>
  <c r="T207" i="59"/>
  <c r="Y206" i="59"/>
  <c r="X206" i="59"/>
  <c r="W206" i="59"/>
  <c r="V206" i="59"/>
  <c r="U206" i="59"/>
  <c r="T206" i="59"/>
  <c r="Y205" i="59"/>
  <c r="X205" i="59"/>
  <c r="W205" i="59"/>
  <c r="V205" i="59"/>
  <c r="U205" i="59"/>
  <c r="T205" i="59"/>
  <c r="Y204" i="59"/>
  <c r="X204" i="59"/>
  <c r="W204" i="59"/>
  <c r="V204" i="59"/>
  <c r="U204" i="59"/>
  <c r="T204" i="59"/>
  <c r="Y203" i="59"/>
  <c r="X203" i="59"/>
  <c r="W203" i="59"/>
  <c r="V203" i="59"/>
  <c r="U203" i="59"/>
  <c r="T203" i="59"/>
  <c r="Y202" i="59"/>
  <c r="X202" i="59"/>
  <c r="W202" i="59"/>
  <c r="V202" i="59"/>
  <c r="U202" i="59"/>
  <c r="T202" i="59"/>
  <c r="Y201" i="59"/>
  <c r="X201" i="59"/>
  <c r="W201" i="59"/>
  <c r="V201" i="59"/>
  <c r="U201" i="59"/>
  <c r="T201" i="59"/>
  <c r="Y200" i="59"/>
  <c r="X200" i="59"/>
  <c r="W200" i="59"/>
  <c r="V200" i="59"/>
  <c r="U200" i="59"/>
  <c r="T200" i="59"/>
  <c r="Y199" i="59"/>
  <c r="X199" i="59"/>
  <c r="W199" i="59"/>
  <c r="V199" i="59"/>
  <c r="U199" i="59"/>
  <c r="T199" i="59"/>
  <c r="Y198" i="59"/>
  <c r="X198" i="59"/>
  <c r="W198" i="59"/>
  <c r="V198" i="59"/>
  <c r="U198" i="59"/>
  <c r="T198" i="59"/>
  <c r="Y197" i="59"/>
  <c r="X197" i="59"/>
  <c r="W197" i="59"/>
  <c r="V197" i="59"/>
  <c r="U197" i="59"/>
  <c r="T197" i="59"/>
  <c r="Y196" i="59"/>
  <c r="X196" i="59"/>
  <c r="W196" i="59"/>
  <c r="V196" i="59"/>
  <c r="U196" i="59"/>
  <c r="T196" i="59"/>
  <c r="Y195" i="59"/>
  <c r="X195" i="59"/>
  <c r="W195" i="59"/>
  <c r="V195" i="59"/>
  <c r="U195" i="59"/>
  <c r="T195" i="59"/>
  <c r="Y194" i="59"/>
  <c r="X194" i="59"/>
  <c r="W194" i="59"/>
  <c r="V194" i="59"/>
  <c r="U194" i="59"/>
  <c r="T194" i="59"/>
  <c r="Y193" i="59"/>
  <c r="X193" i="59"/>
  <c r="W193" i="59"/>
  <c r="V193" i="59"/>
  <c r="U193" i="59"/>
  <c r="T193" i="59"/>
  <c r="Y192" i="59"/>
  <c r="X192" i="59"/>
  <c r="W192" i="59"/>
  <c r="V192" i="59"/>
  <c r="U192" i="59"/>
  <c r="T192" i="59"/>
  <c r="Y191" i="59"/>
  <c r="X191" i="59"/>
  <c r="W191" i="59"/>
  <c r="V191" i="59"/>
  <c r="U191" i="59"/>
  <c r="T191" i="59"/>
  <c r="Y190" i="59"/>
  <c r="X190" i="59"/>
  <c r="W190" i="59"/>
  <c r="V190" i="59"/>
  <c r="U190" i="59"/>
  <c r="T190" i="59"/>
  <c r="Y189" i="59"/>
  <c r="X189" i="59"/>
  <c r="W189" i="59"/>
  <c r="V189" i="59"/>
  <c r="U189" i="59"/>
  <c r="T189" i="59"/>
  <c r="Y188" i="59"/>
  <c r="X188" i="59"/>
  <c r="W188" i="59"/>
  <c r="V188" i="59"/>
  <c r="U188" i="59"/>
  <c r="T188" i="59"/>
  <c r="Y187" i="59"/>
  <c r="X187" i="59"/>
  <c r="W187" i="59"/>
  <c r="V187" i="59"/>
  <c r="U187" i="59"/>
  <c r="T187" i="59"/>
  <c r="Y186" i="59"/>
  <c r="X186" i="59"/>
  <c r="W186" i="59"/>
  <c r="V186" i="59"/>
  <c r="U186" i="59"/>
  <c r="T186" i="59"/>
  <c r="Y185" i="59"/>
  <c r="X185" i="59"/>
  <c r="W185" i="59"/>
  <c r="V185" i="59"/>
  <c r="U185" i="59"/>
  <c r="T185" i="59"/>
  <c r="Y184" i="59"/>
  <c r="X184" i="59"/>
  <c r="W184" i="59"/>
  <c r="V184" i="59"/>
  <c r="U184" i="59"/>
  <c r="T184" i="59"/>
  <c r="Y183" i="59"/>
  <c r="X183" i="59"/>
  <c r="W183" i="59"/>
  <c r="V183" i="59"/>
  <c r="U183" i="59"/>
  <c r="T183" i="59"/>
  <c r="Y182" i="59"/>
  <c r="X182" i="59"/>
  <c r="W182" i="59"/>
  <c r="V182" i="59"/>
  <c r="U182" i="59"/>
  <c r="T182" i="59"/>
  <c r="Y180" i="59"/>
  <c r="X180" i="59"/>
  <c r="W180" i="59"/>
  <c r="V180" i="59"/>
  <c r="U180" i="59"/>
  <c r="T180" i="59"/>
  <c r="Y179" i="59"/>
  <c r="X179" i="59"/>
  <c r="W179" i="59"/>
  <c r="V179" i="59"/>
  <c r="U179" i="59"/>
  <c r="T179" i="59"/>
  <c r="Y178" i="59"/>
  <c r="X178" i="59"/>
  <c r="W178" i="59"/>
  <c r="V178" i="59"/>
  <c r="U178" i="59"/>
  <c r="T178" i="59"/>
  <c r="Y177" i="59"/>
  <c r="X177" i="59"/>
  <c r="W177" i="59"/>
  <c r="V177" i="59"/>
  <c r="U177" i="59"/>
  <c r="T177" i="59"/>
  <c r="Y176" i="59"/>
  <c r="X176" i="59"/>
  <c r="W176" i="59"/>
  <c r="V176" i="59"/>
  <c r="U176" i="59"/>
  <c r="T176" i="59"/>
  <c r="Y175" i="59"/>
  <c r="X175" i="59"/>
  <c r="W175" i="59"/>
  <c r="V175" i="59"/>
  <c r="U175" i="59"/>
  <c r="T175" i="59"/>
  <c r="Y174" i="59"/>
  <c r="X174" i="59"/>
  <c r="W174" i="59"/>
  <c r="V174" i="59"/>
  <c r="U174" i="59"/>
  <c r="T174" i="59"/>
  <c r="Y173" i="59"/>
  <c r="X173" i="59"/>
  <c r="W173" i="59"/>
  <c r="V173" i="59"/>
  <c r="U173" i="59"/>
  <c r="T173" i="59"/>
  <c r="Y172" i="59"/>
  <c r="X172" i="59"/>
  <c r="W172" i="59"/>
  <c r="V172" i="59"/>
  <c r="U172" i="59"/>
  <c r="T172" i="59"/>
  <c r="Y171" i="59"/>
  <c r="X171" i="59"/>
  <c r="W171" i="59"/>
  <c r="V171" i="59"/>
  <c r="U171" i="59"/>
  <c r="T171" i="59"/>
  <c r="Y170" i="59"/>
  <c r="X170" i="59"/>
  <c r="W170" i="59"/>
  <c r="V170" i="59"/>
  <c r="U170" i="59"/>
  <c r="T170" i="59"/>
  <c r="Y169" i="59"/>
  <c r="X169" i="59"/>
  <c r="W169" i="59"/>
  <c r="V169" i="59"/>
  <c r="U169" i="59"/>
  <c r="T169" i="59"/>
  <c r="Y168" i="59"/>
  <c r="X168" i="59"/>
  <c r="W168" i="59"/>
  <c r="V168" i="59"/>
  <c r="U168" i="59"/>
  <c r="T168" i="59"/>
  <c r="Y167" i="59"/>
  <c r="X167" i="59"/>
  <c r="W167" i="59"/>
  <c r="V167" i="59"/>
  <c r="U167" i="59"/>
  <c r="T167" i="59"/>
  <c r="Y166" i="59"/>
  <c r="X166" i="59"/>
  <c r="W166" i="59"/>
  <c r="V166" i="59"/>
  <c r="U166" i="59"/>
  <c r="T166" i="59"/>
  <c r="Y165" i="59"/>
  <c r="X165" i="59"/>
  <c r="W165" i="59"/>
  <c r="V165" i="59"/>
  <c r="U165" i="59"/>
  <c r="T165" i="59"/>
  <c r="Y164" i="59"/>
  <c r="X164" i="59"/>
  <c r="W164" i="59"/>
  <c r="V164" i="59"/>
  <c r="U164" i="59"/>
  <c r="T164" i="59"/>
  <c r="Y163" i="59"/>
  <c r="X163" i="59"/>
  <c r="W163" i="59"/>
  <c r="V163" i="59"/>
  <c r="U163" i="59"/>
  <c r="T163" i="59"/>
  <c r="Y162" i="59"/>
  <c r="X162" i="59"/>
  <c r="W162" i="59"/>
  <c r="V162" i="59"/>
  <c r="U162" i="59"/>
  <c r="T162" i="59"/>
  <c r="Y161" i="59"/>
  <c r="X161" i="59"/>
  <c r="W161" i="59"/>
  <c r="V161" i="59"/>
  <c r="U161" i="59"/>
  <c r="T161" i="59"/>
  <c r="Y160" i="59"/>
  <c r="X160" i="59"/>
  <c r="W160" i="59"/>
  <c r="V160" i="59"/>
  <c r="U160" i="59"/>
  <c r="T160" i="59"/>
  <c r="Y159" i="59"/>
  <c r="X159" i="59"/>
  <c r="W159" i="59"/>
  <c r="V159" i="59"/>
  <c r="U159" i="59"/>
  <c r="T159" i="59"/>
  <c r="Y158" i="59"/>
  <c r="X158" i="59"/>
  <c r="W158" i="59"/>
  <c r="V158" i="59"/>
  <c r="U158" i="59"/>
  <c r="T158" i="59"/>
  <c r="Y157" i="59"/>
  <c r="X157" i="59"/>
  <c r="W157" i="59"/>
  <c r="V157" i="59"/>
  <c r="U157" i="59"/>
  <c r="T157" i="59"/>
  <c r="Y156" i="59"/>
  <c r="X156" i="59"/>
  <c r="W156" i="59"/>
  <c r="V156" i="59"/>
  <c r="U156" i="59"/>
  <c r="T156" i="59"/>
  <c r="Y155" i="59"/>
  <c r="X155" i="59"/>
  <c r="W155" i="59"/>
  <c r="V155" i="59"/>
  <c r="U155" i="59"/>
  <c r="T155" i="59"/>
  <c r="Y154" i="59"/>
  <c r="X154" i="59"/>
  <c r="W154" i="59"/>
  <c r="V154" i="59"/>
  <c r="U154" i="59"/>
  <c r="T154" i="59"/>
  <c r="Y153" i="59"/>
  <c r="X153" i="59"/>
  <c r="W153" i="59"/>
  <c r="V153" i="59"/>
  <c r="U153" i="59"/>
  <c r="T153" i="59"/>
  <c r="Y152" i="59"/>
  <c r="X152" i="59"/>
  <c r="W152" i="59"/>
  <c r="U152" i="59"/>
  <c r="T152" i="59"/>
  <c r="Y151" i="59"/>
  <c r="X151" i="59"/>
  <c r="W151" i="59"/>
  <c r="V151" i="59"/>
  <c r="U151" i="59"/>
  <c r="T151" i="59"/>
  <c r="Y150" i="59"/>
  <c r="X150" i="59"/>
  <c r="W150" i="59"/>
  <c r="V150" i="59"/>
  <c r="U150" i="59"/>
  <c r="T150" i="59"/>
  <c r="Y149" i="59"/>
  <c r="X149" i="59"/>
  <c r="W149" i="59"/>
  <c r="V149" i="59"/>
  <c r="U149" i="59"/>
  <c r="T149" i="59"/>
  <c r="Y148" i="59"/>
  <c r="X148" i="59"/>
  <c r="W148" i="59"/>
  <c r="V148" i="59"/>
  <c r="U148" i="59"/>
  <c r="T148" i="59"/>
  <c r="Y147" i="59"/>
  <c r="X147" i="59"/>
  <c r="W147" i="59"/>
  <c r="V147" i="59"/>
  <c r="U147" i="59"/>
  <c r="T147" i="59"/>
  <c r="Y146" i="59"/>
  <c r="X146" i="59"/>
  <c r="W146" i="59"/>
  <c r="V146" i="59"/>
  <c r="U146" i="59"/>
  <c r="T146" i="59"/>
  <c r="Y145" i="59"/>
  <c r="X145" i="59"/>
  <c r="W145" i="59"/>
  <c r="V145" i="59"/>
  <c r="U145" i="59"/>
  <c r="T145" i="59"/>
  <c r="Y144" i="59"/>
  <c r="X144" i="59"/>
  <c r="W144" i="59"/>
  <c r="V144" i="59"/>
  <c r="U144" i="59"/>
  <c r="T144" i="59"/>
  <c r="Y143" i="59"/>
  <c r="X143" i="59"/>
  <c r="W143" i="59"/>
  <c r="V143" i="59"/>
  <c r="U143" i="59"/>
  <c r="T143" i="59"/>
  <c r="Y142" i="59"/>
  <c r="X142" i="59"/>
  <c r="W142" i="59"/>
  <c r="V142" i="59"/>
  <c r="U142" i="59"/>
  <c r="T142" i="59"/>
  <c r="Y141" i="59"/>
  <c r="X141" i="59"/>
  <c r="W141" i="59"/>
  <c r="V141" i="59"/>
  <c r="U141" i="59"/>
  <c r="T141" i="59"/>
  <c r="Y140" i="59"/>
  <c r="X140" i="59"/>
  <c r="W140" i="59"/>
  <c r="V140" i="59"/>
  <c r="U140" i="59"/>
  <c r="T140" i="59"/>
  <c r="Y139" i="59"/>
  <c r="X139" i="59"/>
  <c r="W139" i="59"/>
  <c r="V139" i="59"/>
  <c r="U139" i="59"/>
  <c r="T139" i="59"/>
  <c r="Y138" i="59"/>
  <c r="X138" i="59"/>
  <c r="W138" i="59"/>
  <c r="V138" i="59"/>
  <c r="U138" i="59"/>
  <c r="T138" i="59"/>
  <c r="Y137" i="59"/>
  <c r="X137" i="59"/>
  <c r="W137" i="59"/>
  <c r="V137" i="59"/>
  <c r="U137" i="59"/>
  <c r="T137" i="59"/>
  <c r="Y136" i="59"/>
  <c r="X136" i="59"/>
  <c r="W136" i="59"/>
  <c r="V136" i="59"/>
  <c r="U136" i="59"/>
  <c r="T136" i="59"/>
  <c r="Y135" i="59"/>
  <c r="X135" i="59"/>
  <c r="W135" i="59"/>
  <c r="V135" i="59"/>
  <c r="U135" i="59"/>
  <c r="T135" i="59"/>
  <c r="Y134" i="59"/>
  <c r="X134" i="59"/>
  <c r="W134" i="59"/>
  <c r="V134" i="59"/>
  <c r="U134" i="59"/>
  <c r="T134" i="59"/>
  <c r="Y133" i="59"/>
  <c r="X133" i="59"/>
  <c r="W133" i="59"/>
  <c r="V133" i="59"/>
  <c r="U133" i="59"/>
  <c r="T133" i="59"/>
  <c r="Y132" i="59"/>
  <c r="X132" i="59"/>
  <c r="W132" i="59"/>
  <c r="V132" i="59"/>
  <c r="U132" i="59"/>
  <c r="T132" i="59"/>
  <c r="Y131" i="59"/>
  <c r="X131" i="59"/>
  <c r="W131" i="59"/>
  <c r="V131" i="59"/>
  <c r="U131" i="59"/>
  <c r="T131" i="59"/>
  <c r="Y130" i="59"/>
  <c r="X130" i="59"/>
  <c r="W130" i="59"/>
  <c r="V130" i="59"/>
  <c r="U130" i="59"/>
  <c r="T130" i="59"/>
  <c r="Y129" i="59"/>
  <c r="X129" i="59"/>
  <c r="W129" i="59"/>
  <c r="V129" i="59"/>
  <c r="U129" i="59"/>
  <c r="T129" i="59"/>
  <c r="Y128" i="59"/>
  <c r="X128" i="59"/>
  <c r="W128" i="59"/>
  <c r="V128" i="59"/>
  <c r="U128" i="59"/>
  <c r="T128" i="59"/>
  <c r="Y127" i="59"/>
  <c r="X127" i="59"/>
  <c r="W127" i="59"/>
  <c r="V127" i="59"/>
  <c r="U127" i="59"/>
  <c r="T127" i="59"/>
  <c r="Y126" i="59"/>
  <c r="X126" i="59"/>
  <c r="W126" i="59"/>
  <c r="V126" i="59"/>
  <c r="U126" i="59"/>
  <c r="T126" i="59"/>
  <c r="Y125" i="59"/>
  <c r="X125" i="59"/>
  <c r="W125" i="59"/>
  <c r="V125" i="59"/>
  <c r="U125" i="59"/>
  <c r="T125" i="59"/>
  <c r="Y124" i="59"/>
  <c r="X124" i="59"/>
  <c r="W124" i="59"/>
  <c r="V124" i="59"/>
  <c r="U124" i="59"/>
  <c r="T124" i="59"/>
  <c r="Y123" i="59"/>
  <c r="X123" i="59"/>
  <c r="W123" i="59"/>
  <c r="V123" i="59"/>
  <c r="U123" i="59"/>
  <c r="T123" i="59"/>
  <c r="Y122" i="59"/>
  <c r="X122" i="59"/>
  <c r="W122" i="59"/>
  <c r="V122" i="59"/>
  <c r="U122" i="59"/>
  <c r="T122" i="59"/>
  <c r="Y121" i="59"/>
  <c r="X121" i="59"/>
  <c r="W121" i="59"/>
  <c r="V121" i="59"/>
  <c r="U121" i="59"/>
  <c r="T121" i="59"/>
  <c r="Y120" i="59"/>
  <c r="X120" i="59"/>
  <c r="W120" i="59"/>
  <c r="V120" i="59"/>
  <c r="U120" i="59"/>
  <c r="T120" i="59"/>
  <c r="Y119" i="59"/>
  <c r="X119" i="59"/>
  <c r="W119" i="59"/>
  <c r="V119" i="59"/>
  <c r="U119" i="59"/>
  <c r="T119" i="59"/>
  <c r="Y118" i="59"/>
  <c r="X118" i="59"/>
  <c r="W118" i="59"/>
  <c r="V118" i="59"/>
  <c r="U118" i="59"/>
  <c r="T118" i="59"/>
  <c r="Y117" i="59"/>
  <c r="X117" i="59"/>
  <c r="W117" i="59"/>
  <c r="V117" i="59"/>
  <c r="U117" i="59"/>
  <c r="T117" i="59"/>
  <c r="Y116" i="59"/>
  <c r="X116" i="59"/>
  <c r="W116" i="59"/>
  <c r="V116" i="59"/>
  <c r="U116" i="59"/>
  <c r="T116" i="59"/>
  <c r="Y115" i="59"/>
  <c r="X115" i="59"/>
  <c r="W115" i="59"/>
  <c r="V115" i="59"/>
  <c r="U115" i="59"/>
  <c r="T115" i="59"/>
  <c r="Y114" i="59"/>
  <c r="X114" i="59"/>
  <c r="W114" i="59"/>
  <c r="V114" i="59"/>
  <c r="U114" i="59"/>
  <c r="T114" i="59"/>
  <c r="Y113" i="59"/>
  <c r="X113" i="59"/>
  <c r="W113" i="59"/>
  <c r="V113" i="59"/>
  <c r="U113" i="59"/>
  <c r="T113" i="59"/>
  <c r="Y112" i="59"/>
  <c r="X112" i="59"/>
  <c r="W112" i="59"/>
  <c r="V112" i="59"/>
  <c r="U112" i="59"/>
  <c r="T112" i="59"/>
  <c r="Y111" i="59"/>
  <c r="X111" i="59"/>
  <c r="W111" i="59"/>
  <c r="V111" i="59"/>
  <c r="U111" i="59"/>
  <c r="T111" i="59"/>
  <c r="Y110" i="59"/>
  <c r="X110" i="59"/>
  <c r="W110" i="59"/>
  <c r="V110" i="59"/>
  <c r="U110" i="59"/>
  <c r="T110" i="59"/>
  <c r="Y109" i="59"/>
  <c r="X109" i="59"/>
  <c r="W109" i="59"/>
  <c r="V109" i="59"/>
  <c r="U109" i="59"/>
  <c r="T109" i="59"/>
  <c r="Y108" i="59"/>
  <c r="X108" i="59"/>
  <c r="W108" i="59"/>
  <c r="V108" i="59"/>
  <c r="U108" i="59"/>
  <c r="T108" i="59"/>
  <c r="Y107" i="59"/>
  <c r="X107" i="59"/>
  <c r="W107" i="59"/>
  <c r="V107" i="59"/>
  <c r="U107" i="59"/>
  <c r="T107" i="59"/>
  <c r="Y106" i="59"/>
  <c r="X106" i="59"/>
  <c r="W106" i="59"/>
  <c r="V106" i="59"/>
  <c r="U106" i="59"/>
  <c r="T106" i="59"/>
  <c r="Y105" i="59"/>
  <c r="X105" i="59"/>
  <c r="W105" i="59"/>
  <c r="V105" i="59"/>
  <c r="U105" i="59"/>
  <c r="T105" i="59"/>
  <c r="Y104" i="59"/>
  <c r="X104" i="59"/>
  <c r="W104" i="59"/>
  <c r="V104" i="59"/>
  <c r="U104" i="59"/>
  <c r="T104" i="59"/>
  <c r="Y103" i="59"/>
  <c r="X103" i="59"/>
  <c r="W103" i="59"/>
  <c r="V103" i="59"/>
  <c r="U103" i="59"/>
  <c r="T103" i="59"/>
  <c r="Y102" i="59"/>
  <c r="X102" i="59"/>
  <c r="W102" i="59"/>
  <c r="V102" i="59"/>
  <c r="U102" i="59"/>
  <c r="T102" i="59"/>
  <c r="Y101" i="59"/>
  <c r="X101" i="59"/>
  <c r="W101" i="59"/>
  <c r="V101" i="59"/>
  <c r="U101" i="59"/>
  <c r="T101" i="59"/>
  <c r="Y100" i="59"/>
  <c r="X100" i="59"/>
  <c r="W100" i="59"/>
  <c r="V100" i="59"/>
  <c r="U100" i="59"/>
  <c r="T100" i="59"/>
  <c r="Y99" i="59"/>
  <c r="X99" i="59"/>
  <c r="W99" i="59"/>
  <c r="V99" i="59"/>
  <c r="U99" i="59"/>
  <c r="T99" i="59"/>
  <c r="Y98" i="59"/>
  <c r="X98" i="59"/>
  <c r="W98" i="59"/>
  <c r="V98" i="59"/>
  <c r="U98" i="59"/>
  <c r="T98" i="59"/>
  <c r="Y97" i="59"/>
  <c r="X97" i="59"/>
  <c r="W97" i="59"/>
  <c r="V97" i="59"/>
  <c r="U97" i="59"/>
  <c r="T97" i="59"/>
  <c r="Y96" i="59"/>
  <c r="X96" i="59"/>
  <c r="W96" i="59"/>
  <c r="V96" i="59"/>
  <c r="U96" i="59"/>
  <c r="T96" i="59"/>
  <c r="Y95" i="59"/>
  <c r="X95" i="59"/>
  <c r="W95" i="59"/>
  <c r="V95" i="59"/>
  <c r="U95" i="59"/>
  <c r="T95" i="59"/>
  <c r="Y94" i="59"/>
  <c r="X94" i="59"/>
  <c r="W94" i="59"/>
  <c r="V94" i="59"/>
  <c r="U94" i="59"/>
  <c r="T94" i="59"/>
  <c r="Y93" i="59"/>
  <c r="X93" i="59"/>
  <c r="W93" i="59"/>
  <c r="V93" i="59"/>
  <c r="U93" i="59"/>
  <c r="T93" i="59"/>
  <c r="Y92" i="59"/>
  <c r="X92" i="59"/>
  <c r="W92" i="59"/>
  <c r="V92" i="59"/>
  <c r="U92" i="59"/>
  <c r="T92" i="59"/>
  <c r="Y91" i="59"/>
  <c r="X91" i="59"/>
  <c r="W91" i="59"/>
  <c r="V91" i="59"/>
  <c r="U91" i="59"/>
  <c r="T91" i="59"/>
  <c r="Y90" i="59"/>
  <c r="X90" i="59"/>
  <c r="W90" i="59"/>
  <c r="V90" i="59"/>
  <c r="U90" i="59"/>
  <c r="T90" i="59"/>
  <c r="Y89" i="59"/>
  <c r="X89" i="59"/>
  <c r="W89" i="59"/>
  <c r="V89" i="59"/>
  <c r="U89" i="59"/>
  <c r="T89" i="59"/>
  <c r="Y88" i="59"/>
  <c r="X88" i="59"/>
  <c r="W88" i="59"/>
  <c r="V88" i="59"/>
  <c r="U88" i="59"/>
  <c r="T88" i="59"/>
  <c r="Y87" i="59"/>
  <c r="X87" i="59"/>
  <c r="W87" i="59"/>
  <c r="V87" i="59"/>
  <c r="U87" i="59"/>
  <c r="T87" i="59"/>
  <c r="Y86" i="59"/>
  <c r="X86" i="59"/>
  <c r="W86" i="59"/>
  <c r="V86" i="59"/>
  <c r="U86" i="59"/>
  <c r="T86" i="59"/>
  <c r="Y85" i="59"/>
  <c r="X85" i="59"/>
  <c r="W85" i="59"/>
  <c r="V85" i="59"/>
  <c r="U85" i="59"/>
  <c r="T85" i="59"/>
  <c r="Y84" i="59"/>
  <c r="X84" i="59"/>
  <c r="W84" i="59"/>
  <c r="V84" i="59"/>
  <c r="U84" i="59"/>
  <c r="T84" i="59"/>
  <c r="Y83" i="59"/>
  <c r="X83" i="59"/>
  <c r="W83" i="59"/>
  <c r="V83" i="59"/>
  <c r="U83" i="59"/>
  <c r="T83" i="59"/>
  <c r="Y82" i="59"/>
  <c r="X82" i="59"/>
  <c r="W82" i="59"/>
  <c r="V82" i="59"/>
  <c r="U82" i="59"/>
  <c r="T82" i="59"/>
  <c r="Y81" i="59"/>
  <c r="X81" i="59"/>
  <c r="W81" i="59"/>
  <c r="V81" i="59"/>
  <c r="U81" i="59"/>
  <c r="T81" i="59"/>
  <c r="Y80" i="59"/>
  <c r="X80" i="59"/>
  <c r="W80" i="59"/>
  <c r="V80" i="59"/>
  <c r="U80" i="59"/>
  <c r="T80" i="59"/>
  <c r="Y79" i="59"/>
  <c r="X79" i="59"/>
  <c r="W79" i="59"/>
  <c r="V79" i="59"/>
  <c r="U79" i="59"/>
  <c r="T79" i="59"/>
  <c r="Y78" i="59"/>
  <c r="X78" i="59"/>
  <c r="W78" i="59"/>
  <c r="V78" i="59"/>
  <c r="U78" i="59"/>
  <c r="T78" i="59"/>
  <c r="Y77" i="59"/>
  <c r="X77" i="59"/>
  <c r="W77" i="59"/>
  <c r="V77" i="59"/>
  <c r="U77" i="59"/>
  <c r="T77" i="59"/>
  <c r="Y76" i="59"/>
  <c r="X76" i="59"/>
  <c r="W76" i="59"/>
  <c r="V76" i="59"/>
  <c r="U76" i="59"/>
  <c r="T76" i="59"/>
  <c r="Y75" i="59"/>
  <c r="X75" i="59"/>
  <c r="W75" i="59"/>
  <c r="V75" i="59"/>
  <c r="U75" i="59"/>
  <c r="T75" i="59"/>
  <c r="Y74" i="59"/>
  <c r="X74" i="59"/>
  <c r="W74" i="59"/>
  <c r="V74" i="59"/>
  <c r="U74" i="59"/>
  <c r="T74" i="59"/>
  <c r="Y72" i="59"/>
  <c r="X72" i="59"/>
  <c r="W72" i="59"/>
  <c r="V72" i="59"/>
  <c r="U72" i="59"/>
  <c r="T72" i="59"/>
  <c r="Y71" i="59"/>
  <c r="X71" i="59"/>
  <c r="W71" i="59"/>
  <c r="V71" i="59"/>
  <c r="U71" i="59"/>
  <c r="T71" i="59"/>
  <c r="Y70" i="59"/>
  <c r="X70" i="59"/>
  <c r="W70" i="59"/>
  <c r="V70" i="59"/>
  <c r="U70" i="59"/>
  <c r="T70" i="59"/>
  <c r="Y69" i="59"/>
  <c r="X69" i="59"/>
  <c r="W69" i="59"/>
  <c r="V69" i="59"/>
  <c r="U69" i="59"/>
  <c r="T69" i="59"/>
  <c r="Y68" i="59"/>
  <c r="X68" i="59"/>
  <c r="W68" i="59"/>
  <c r="V68" i="59"/>
  <c r="U68" i="59"/>
  <c r="T68" i="59"/>
  <c r="Y67" i="59"/>
  <c r="X67" i="59"/>
  <c r="W67" i="59"/>
  <c r="V67" i="59"/>
  <c r="U67" i="59"/>
  <c r="T67" i="59"/>
  <c r="Y66" i="59"/>
  <c r="X66" i="59"/>
  <c r="W66" i="59"/>
  <c r="V66" i="59"/>
  <c r="U66" i="59"/>
  <c r="T66" i="59"/>
  <c r="Y65" i="59"/>
  <c r="X65" i="59"/>
  <c r="W65" i="59"/>
  <c r="V65" i="59"/>
  <c r="U65" i="59"/>
  <c r="T65" i="59"/>
  <c r="Y64" i="59"/>
  <c r="X64" i="59"/>
  <c r="W64" i="59"/>
  <c r="V64" i="59"/>
  <c r="U64" i="59"/>
  <c r="T64" i="59"/>
  <c r="Y63" i="59"/>
  <c r="X63" i="59"/>
  <c r="W63" i="59"/>
  <c r="V63" i="59"/>
  <c r="U63" i="59"/>
  <c r="T63" i="59"/>
  <c r="Y62" i="59"/>
  <c r="X62" i="59"/>
  <c r="W62" i="59"/>
  <c r="V62" i="59"/>
  <c r="U62" i="59"/>
  <c r="T62" i="59"/>
  <c r="Y61" i="59"/>
  <c r="X61" i="59"/>
  <c r="W61" i="59"/>
  <c r="V61" i="59"/>
  <c r="U61" i="59"/>
  <c r="T61" i="59"/>
  <c r="Y60" i="59"/>
  <c r="X60" i="59"/>
  <c r="W60" i="59"/>
  <c r="V60" i="59"/>
  <c r="U60" i="59"/>
  <c r="T60" i="59"/>
  <c r="Y59" i="59"/>
  <c r="X59" i="59"/>
  <c r="W59" i="59"/>
  <c r="V59" i="59"/>
  <c r="U59" i="59"/>
  <c r="T59" i="59"/>
  <c r="Y58" i="59"/>
  <c r="X58" i="59"/>
  <c r="W58" i="59"/>
  <c r="V58" i="59"/>
  <c r="U58" i="59"/>
  <c r="T58" i="59"/>
  <c r="Y57" i="59"/>
  <c r="X57" i="59"/>
  <c r="W57" i="59"/>
  <c r="V57" i="59"/>
  <c r="U57" i="59"/>
  <c r="T57" i="59"/>
  <c r="Y56" i="59"/>
  <c r="X56" i="59"/>
  <c r="W56" i="59"/>
  <c r="V56" i="59"/>
  <c r="U56" i="59"/>
  <c r="T56" i="59"/>
  <c r="Y55" i="59"/>
  <c r="X55" i="59"/>
  <c r="W55" i="59"/>
  <c r="V55" i="59"/>
  <c r="U55" i="59"/>
  <c r="T55" i="59"/>
  <c r="Y54" i="59"/>
  <c r="X54" i="59"/>
  <c r="W54" i="59"/>
  <c r="V54" i="59"/>
  <c r="U54" i="59"/>
  <c r="T54" i="59"/>
  <c r="Y53" i="59"/>
  <c r="X53" i="59"/>
  <c r="W53" i="59"/>
  <c r="V53" i="59"/>
  <c r="U53" i="59"/>
  <c r="T53" i="59"/>
  <c r="Y52" i="59"/>
  <c r="X52" i="59"/>
  <c r="W52" i="59"/>
  <c r="V52" i="59"/>
  <c r="U52" i="59"/>
  <c r="T52" i="59"/>
  <c r="Y51" i="59"/>
  <c r="X51" i="59"/>
  <c r="W51" i="59"/>
  <c r="V51" i="59"/>
  <c r="U51" i="59"/>
  <c r="T51" i="59"/>
  <c r="Y50" i="59"/>
  <c r="X50" i="59"/>
  <c r="W50" i="59"/>
  <c r="V50" i="59"/>
  <c r="U50" i="59"/>
  <c r="T50" i="59"/>
  <c r="Y49" i="59"/>
  <c r="X49" i="59"/>
  <c r="W49" i="59"/>
  <c r="V49" i="59"/>
  <c r="U49" i="59"/>
  <c r="T49" i="59"/>
  <c r="Y48" i="59"/>
  <c r="X48" i="59"/>
  <c r="W48" i="59"/>
  <c r="V48" i="59"/>
  <c r="U48" i="59"/>
  <c r="T48" i="59"/>
  <c r="Y47" i="59"/>
  <c r="X47" i="59"/>
  <c r="W47" i="59"/>
  <c r="V47" i="59"/>
  <c r="U47" i="59"/>
  <c r="T47" i="59"/>
  <c r="Y46" i="59"/>
  <c r="X46" i="59"/>
  <c r="W46" i="59"/>
  <c r="V46" i="59"/>
  <c r="U46" i="59"/>
  <c r="T46" i="59"/>
  <c r="Y45" i="59"/>
  <c r="X45" i="59"/>
  <c r="W45" i="59"/>
  <c r="V45" i="59"/>
  <c r="U45" i="59"/>
  <c r="T45" i="59"/>
  <c r="Y44" i="59"/>
  <c r="X44" i="59"/>
  <c r="W44" i="59"/>
  <c r="V44" i="59"/>
  <c r="U44" i="59"/>
  <c r="T44" i="59"/>
  <c r="Y43" i="59"/>
  <c r="X43" i="59"/>
  <c r="W43" i="59"/>
  <c r="V43" i="59"/>
  <c r="U43" i="59"/>
  <c r="T43" i="59"/>
  <c r="Y42" i="59"/>
  <c r="X42" i="59"/>
  <c r="W42" i="59"/>
  <c r="V42" i="59"/>
  <c r="U42" i="59"/>
  <c r="T42" i="59"/>
  <c r="Y41" i="59"/>
  <c r="X41" i="59"/>
  <c r="W41" i="59"/>
  <c r="V41" i="59"/>
  <c r="U41" i="59"/>
  <c r="T41" i="59"/>
  <c r="Y40" i="59"/>
  <c r="X40" i="59"/>
  <c r="W40" i="59"/>
  <c r="V40" i="59"/>
  <c r="U40" i="59"/>
  <c r="T40" i="59"/>
  <c r="Y39" i="59"/>
  <c r="X39" i="59"/>
  <c r="W39" i="59"/>
  <c r="V39" i="59"/>
  <c r="U39" i="59"/>
  <c r="T39" i="59"/>
  <c r="Y38" i="59"/>
  <c r="X38" i="59"/>
  <c r="W38" i="59"/>
  <c r="V38" i="59"/>
  <c r="U38" i="59"/>
  <c r="T38" i="59"/>
  <c r="Y37" i="59"/>
  <c r="X37" i="59"/>
  <c r="W37" i="59"/>
  <c r="V37" i="59"/>
  <c r="U37" i="59"/>
  <c r="T37" i="59"/>
  <c r="Y36" i="59"/>
  <c r="X36" i="59"/>
  <c r="W36" i="59"/>
  <c r="V36" i="59"/>
  <c r="U36" i="59"/>
  <c r="T36" i="59"/>
  <c r="Y35" i="59"/>
  <c r="X35" i="59"/>
  <c r="W35" i="59"/>
  <c r="V35" i="59"/>
  <c r="U35" i="59"/>
  <c r="T35" i="59"/>
  <c r="Y34" i="59"/>
  <c r="X34" i="59"/>
  <c r="W34" i="59"/>
  <c r="V34" i="59"/>
  <c r="U34" i="59"/>
  <c r="T34" i="59"/>
  <c r="Y33" i="59"/>
  <c r="X33" i="59"/>
  <c r="W33" i="59"/>
  <c r="V33" i="59"/>
  <c r="U33" i="59"/>
  <c r="T33" i="59"/>
  <c r="Y32" i="59"/>
  <c r="X32" i="59"/>
  <c r="W32" i="59"/>
  <c r="V32" i="59"/>
  <c r="U32" i="59"/>
  <c r="T32" i="59"/>
  <c r="Y31" i="59"/>
  <c r="X31" i="59"/>
  <c r="W31" i="59"/>
  <c r="V31" i="59"/>
  <c r="U31" i="59"/>
  <c r="T31" i="59"/>
  <c r="Y30" i="59"/>
  <c r="X30" i="59"/>
  <c r="W30" i="59"/>
  <c r="V30" i="59"/>
  <c r="U30" i="59"/>
  <c r="T30" i="59"/>
  <c r="Y29" i="59"/>
  <c r="X29" i="59"/>
  <c r="W29" i="59"/>
  <c r="V29" i="59"/>
  <c r="U29" i="59"/>
  <c r="T29" i="59"/>
  <c r="Y28" i="59"/>
  <c r="X28" i="59"/>
  <c r="W28" i="59"/>
  <c r="V28" i="59"/>
  <c r="U28" i="59"/>
  <c r="T28" i="59"/>
  <c r="Y27" i="59"/>
  <c r="X27" i="59"/>
  <c r="W27" i="59"/>
  <c r="V27" i="59"/>
  <c r="U27" i="59"/>
  <c r="T27" i="59"/>
  <c r="Y26" i="59"/>
  <c r="X26" i="59"/>
  <c r="W26" i="59"/>
  <c r="V26" i="59"/>
  <c r="U26" i="59"/>
  <c r="T26" i="59"/>
  <c r="Y25" i="59"/>
  <c r="X25" i="59"/>
  <c r="W25" i="59"/>
  <c r="V25" i="59"/>
  <c r="U25" i="59"/>
  <c r="T25" i="59"/>
  <c r="Y24" i="59"/>
  <c r="X24" i="59"/>
  <c r="W24" i="59"/>
  <c r="V24" i="59"/>
  <c r="U24" i="59"/>
  <c r="T24" i="59"/>
  <c r="Y23" i="59"/>
  <c r="X23" i="59"/>
  <c r="W23" i="59"/>
  <c r="V23" i="59"/>
  <c r="U23" i="59"/>
  <c r="T23" i="59"/>
  <c r="Y22" i="59"/>
  <c r="X22" i="59"/>
  <c r="W22" i="59"/>
  <c r="V22" i="59"/>
  <c r="U22" i="59"/>
  <c r="T22" i="59"/>
  <c r="Y21" i="59"/>
  <c r="X21" i="59"/>
  <c r="W21" i="59"/>
  <c r="V21" i="59"/>
  <c r="U21" i="59"/>
  <c r="T21" i="59"/>
  <c r="Y20" i="59"/>
  <c r="X20" i="59"/>
  <c r="W20" i="59"/>
  <c r="V20" i="59"/>
  <c r="U20" i="59"/>
  <c r="T20" i="59"/>
  <c r="Y19" i="59"/>
  <c r="X19" i="59"/>
  <c r="W19" i="59"/>
  <c r="V19" i="59"/>
  <c r="U19" i="59"/>
  <c r="T19" i="59"/>
  <c r="Y18" i="59"/>
  <c r="X18" i="59"/>
  <c r="W18" i="59"/>
  <c r="V18" i="59"/>
  <c r="U18" i="59"/>
  <c r="T18" i="59"/>
  <c r="Y17" i="59"/>
  <c r="X17" i="59"/>
  <c r="W17" i="59"/>
  <c r="V17" i="59"/>
  <c r="U17" i="59"/>
  <c r="T17" i="59"/>
  <c r="Y16" i="59"/>
  <c r="X16" i="59"/>
  <c r="W16" i="59"/>
  <c r="V16" i="59"/>
  <c r="U16" i="59"/>
  <c r="T16" i="59"/>
  <c r="Y15" i="59"/>
  <c r="X15" i="59"/>
  <c r="W15" i="59"/>
  <c r="V15" i="59"/>
  <c r="T15" i="59"/>
  <c r="Y14" i="59"/>
  <c r="X14" i="59"/>
  <c r="W14" i="59"/>
  <c r="V14" i="59"/>
  <c r="U14" i="59"/>
  <c r="T14" i="59"/>
  <c r="Y13" i="59"/>
  <c r="X13" i="59"/>
  <c r="W13" i="59"/>
  <c r="V13" i="59"/>
  <c r="U13" i="59"/>
  <c r="T13" i="59"/>
  <c r="Y12" i="59"/>
  <c r="X12" i="59"/>
  <c r="W12" i="59"/>
  <c r="V12" i="59"/>
  <c r="U12" i="59"/>
  <c r="T12" i="59"/>
  <c r="Y11" i="59"/>
  <c r="X11" i="59"/>
  <c r="W11" i="59"/>
  <c r="V11" i="59"/>
  <c r="U11" i="59"/>
  <c r="T11" i="59"/>
  <c r="Y10" i="59"/>
  <c r="X10" i="59"/>
  <c r="W10" i="59"/>
  <c r="V10" i="59"/>
  <c r="U10" i="59"/>
  <c r="T10" i="59"/>
  <c r="Y9" i="59"/>
  <c r="X9" i="59"/>
  <c r="W9" i="59"/>
  <c r="V9" i="59"/>
  <c r="U9" i="59"/>
  <c r="T9" i="59"/>
  <c r="Y8" i="59"/>
  <c r="X8" i="59"/>
  <c r="W8" i="59"/>
  <c r="V8" i="59"/>
  <c r="U8" i="59"/>
  <c r="T8" i="59"/>
  <c r="Y7" i="59"/>
  <c r="X7" i="59"/>
  <c r="W7" i="59"/>
  <c r="V7" i="59"/>
  <c r="U7" i="59"/>
  <c r="T7" i="59"/>
  <c r="Y6" i="59"/>
  <c r="X6" i="59"/>
  <c r="W6" i="59"/>
  <c r="V6" i="59"/>
  <c r="U6" i="59"/>
  <c r="T6" i="59"/>
  <c r="Y5" i="59"/>
  <c r="X5" i="59"/>
  <c r="W5" i="59"/>
  <c r="V5" i="59"/>
  <c r="U5" i="59"/>
  <c r="T5" i="59"/>
  <c r="Y4" i="59"/>
  <c r="X4" i="59"/>
  <c r="W4" i="59"/>
  <c r="V4" i="59"/>
  <c r="U4" i="59"/>
  <c r="T4" i="59"/>
  <c r="Y3" i="59"/>
  <c r="X3" i="59"/>
  <c r="W3" i="59"/>
  <c r="V3" i="59"/>
  <c r="U3" i="59"/>
  <c r="T3" i="59"/>
  <c r="Y2" i="59"/>
  <c r="X2" i="59"/>
  <c r="W2" i="59"/>
  <c r="V2" i="59"/>
  <c r="U2" i="59"/>
  <c r="T2" i="59"/>
  <c r="N73" i="59" a="1"/>
  <c r="M73" i="59" a="1"/>
  <c r="J73" i="59" a="1"/>
  <c r="G73" i="59" a="1"/>
  <c r="H73" i="59" a="1"/>
  <c r="K73" i="59" a="1"/>
  <c r="L73" i="59" a="1"/>
  <c r="I73" i="59" a="1"/>
  <c r="D12" i="61" l="1"/>
  <c r="Q73" i="59"/>
  <c r="N73" i="59"/>
  <c r="J73" i="59"/>
  <c r="M73" i="59"/>
  <c r="L73" i="59"/>
  <c r="K73" i="59"/>
  <c r="G73" i="59"/>
  <c r="H73" i="59"/>
  <c r="I73" i="59"/>
  <c r="N20" i="61"/>
  <c r="D20" i="61"/>
  <c r="M70" i="59" a="1"/>
  <c r="M70" i="59" l="1"/>
  <c r="T4" i="50" l="1"/>
  <c r="T5" i="50"/>
  <c r="T6" i="50"/>
  <c r="T7" i="50"/>
  <c r="T8" i="50"/>
  <c r="T9" i="50"/>
  <c r="T10" i="50"/>
  <c r="T11" i="50"/>
  <c r="Y22" i="56" l="1"/>
  <c r="Y20" i="55"/>
  <c r="Y40" i="54"/>
  <c r="Y20" i="53"/>
  <c r="Y97" i="52"/>
  <c r="Y16" i="51"/>
  <c r="Y12" i="50"/>
  <c r="Y10" i="49"/>
  <c r="Y10" i="47"/>
  <c r="Y30" i="46"/>
  <c r="Y7" i="45"/>
  <c r="M42" i="54"/>
  <c r="M14" i="57" l="1"/>
  <c r="M24" i="56"/>
  <c r="M22" i="55"/>
  <c r="M18" i="51"/>
  <c r="M22" i="53"/>
  <c r="M14" i="50"/>
  <c r="M12" i="49"/>
  <c r="M32" i="46"/>
  <c r="M12" i="47"/>
  <c r="M43" i="44"/>
  <c r="M9" i="45"/>
  <c r="W8" i="57"/>
  <c r="W9" i="57"/>
  <c r="W5" i="56"/>
  <c r="W6" i="56"/>
  <c r="W7" i="56"/>
  <c r="W8" i="56"/>
  <c r="W9" i="56"/>
  <c r="W10" i="56"/>
  <c r="W11" i="56"/>
  <c r="W12" i="56"/>
  <c r="W13" i="56"/>
  <c r="W14" i="56"/>
  <c r="W15" i="56"/>
  <c r="W16" i="56"/>
  <c r="W17" i="56"/>
  <c r="W18" i="56"/>
  <c r="W19" i="56"/>
  <c r="W20" i="56"/>
  <c r="W21" i="56"/>
  <c r="W4" i="56"/>
  <c r="W5" i="55"/>
  <c r="W6" i="55"/>
  <c r="W7" i="55"/>
  <c r="W8" i="55"/>
  <c r="W9" i="55"/>
  <c r="W10" i="55"/>
  <c r="W11" i="55"/>
  <c r="W12" i="55"/>
  <c r="W13" i="55"/>
  <c r="W14" i="55"/>
  <c r="W15" i="55"/>
  <c r="W16" i="55"/>
  <c r="W17" i="55"/>
  <c r="W18" i="55"/>
  <c r="W19" i="55"/>
  <c r="W4" i="55"/>
  <c r="W5" i="54"/>
  <c r="W6" i="54"/>
  <c r="W7" i="54"/>
  <c r="W8" i="54"/>
  <c r="W9" i="54"/>
  <c r="W10" i="54"/>
  <c r="W11" i="54"/>
  <c r="W13" i="54"/>
  <c r="W15" i="54"/>
  <c r="W16" i="54"/>
  <c r="W17" i="54"/>
  <c r="W18" i="54"/>
  <c r="W19" i="54"/>
  <c r="W20" i="54"/>
  <c r="W38" i="54"/>
  <c r="W39" i="54"/>
  <c r="W22" i="54"/>
  <c r="W23" i="54"/>
  <c r="W24" i="54"/>
  <c r="W25" i="54"/>
  <c r="W26" i="54"/>
  <c r="W27" i="54"/>
  <c r="W28" i="54"/>
  <c r="W29" i="54"/>
  <c r="W30" i="54"/>
  <c r="W31" i="54"/>
  <c r="W32" i="54"/>
  <c r="W33" i="54"/>
  <c r="W34" i="54"/>
  <c r="W35" i="54"/>
  <c r="W36" i="54"/>
  <c r="W21" i="54"/>
  <c r="W5" i="53"/>
  <c r="W6" i="53"/>
  <c r="W7" i="53"/>
  <c r="W8" i="53"/>
  <c r="W9" i="53"/>
  <c r="W10" i="53"/>
  <c r="W11" i="53"/>
  <c r="W12" i="53"/>
  <c r="W13" i="53"/>
  <c r="W14" i="53"/>
  <c r="W15" i="53"/>
  <c r="W16" i="53"/>
  <c r="W17" i="53"/>
  <c r="W18" i="53"/>
  <c r="W19" i="53"/>
  <c r="W4" i="53"/>
  <c r="W26" i="52"/>
  <c r="W94" i="52"/>
  <c r="W95" i="52"/>
  <c r="W96" i="52"/>
  <c r="W93" i="52"/>
  <c r="W83" i="52"/>
  <c r="W84" i="52"/>
  <c r="W85" i="52"/>
  <c r="W86" i="52"/>
  <c r="W87" i="52"/>
  <c r="W88" i="52"/>
  <c r="W89" i="52"/>
  <c r="W90" i="52"/>
  <c r="W91" i="52"/>
  <c r="W82" i="52"/>
  <c r="W71" i="52"/>
  <c r="W72" i="52"/>
  <c r="W73" i="52"/>
  <c r="W74" i="52"/>
  <c r="W75" i="52"/>
  <c r="W77" i="52"/>
  <c r="W78" i="52"/>
  <c r="W79" i="52"/>
  <c r="W80" i="52"/>
  <c r="W70" i="52"/>
  <c r="W11" i="52"/>
  <c r="W12" i="52"/>
  <c r="W13" i="52"/>
  <c r="W14" i="52"/>
  <c r="W15" i="52"/>
  <c r="W16" i="52"/>
  <c r="W17" i="52"/>
  <c r="W18" i="52"/>
  <c r="W19" i="52"/>
  <c r="W21" i="52"/>
  <c r="W22" i="52"/>
  <c r="W23" i="52"/>
  <c r="W24" i="52"/>
  <c r="W27" i="52"/>
  <c r="W28" i="52"/>
  <c r="W29" i="52"/>
  <c r="W30" i="52"/>
  <c r="W31" i="52"/>
  <c r="W32" i="52"/>
  <c r="W33" i="52"/>
  <c r="W35" i="52"/>
  <c r="W36" i="52"/>
  <c r="W37" i="52"/>
  <c r="W38" i="52"/>
  <c r="W39" i="52"/>
  <c r="W40" i="52"/>
  <c r="W41" i="52"/>
  <c r="W42" i="52"/>
  <c r="W43" i="52"/>
  <c r="W44" i="52"/>
  <c r="W45" i="52"/>
  <c r="W46" i="52"/>
  <c r="W47" i="52"/>
  <c r="W48" i="52"/>
  <c r="W49" i="52"/>
  <c r="W51" i="52"/>
  <c r="W52" i="52"/>
  <c r="W53" i="52"/>
  <c r="W54" i="52"/>
  <c r="W56" i="52"/>
  <c r="W57" i="52"/>
  <c r="W58" i="52"/>
  <c r="W59" i="52"/>
  <c r="W60" i="52"/>
  <c r="W61" i="52"/>
  <c r="W62" i="52"/>
  <c r="W64" i="52"/>
  <c r="W65" i="52"/>
  <c r="W66" i="52"/>
  <c r="W67" i="52"/>
  <c r="W68" i="52"/>
  <c r="W10" i="52"/>
  <c r="W6" i="52"/>
  <c r="W7" i="52"/>
  <c r="W8" i="52"/>
  <c r="W5" i="52"/>
  <c r="W5" i="51"/>
  <c r="W6" i="51"/>
  <c r="W7" i="51"/>
  <c r="W8" i="51"/>
  <c r="W9" i="51"/>
  <c r="W10" i="51"/>
  <c r="W11" i="51"/>
  <c r="W12" i="51"/>
  <c r="W13" i="51"/>
  <c r="W14" i="51"/>
  <c r="W15" i="51"/>
  <c r="W4" i="51"/>
  <c r="W5" i="50"/>
  <c r="W6" i="50"/>
  <c r="W7" i="50"/>
  <c r="W8" i="50"/>
  <c r="W9" i="50"/>
  <c r="W10" i="50"/>
  <c r="W11" i="50"/>
  <c r="W4" i="50"/>
  <c r="W4" i="49"/>
  <c r="W5" i="49"/>
  <c r="W7" i="49"/>
  <c r="W8" i="49"/>
  <c r="W9" i="49"/>
  <c r="W6" i="49"/>
  <c r="W8" i="48"/>
  <c r="W9" i="48"/>
  <c r="W10" i="48"/>
  <c r="W12" i="48" s="1"/>
  <c r="W7" i="48"/>
  <c r="W5" i="47"/>
  <c r="W6" i="47"/>
  <c r="W7" i="47"/>
  <c r="W8" i="47"/>
  <c r="W9" i="47"/>
  <c r="W4" i="47"/>
  <c r="W29" i="46"/>
  <c r="W16" i="46"/>
  <c r="W17" i="46"/>
  <c r="W18" i="46"/>
  <c r="W19" i="46"/>
  <c r="W20" i="46"/>
  <c r="W21" i="46"/>
  <c r="W22" i="46"/>
  <c r="W23" i="46"/>
  <c r="W24" i="46"/>
  <c r="W25" i="46"/>
  <c r="W26" i="46"/>
  <c r="W27" i="46"/>
  <c r="W28" i="46"/>
  <c r="W15" i="46"/>
  <c r="W6" i="46"/>
  <c r="W7" i="46"/>
  <c r="W8" i="46"/>
  <c r="W9" i="46"/>
  <c r="W10" i="46"/>
  <c r="W11" i="46"/>
  <c r="W12" i="46"/>
  <c r="W13" i="46"/>
  <c r="W5" i="46"/>
  <c r="W6" i="45"/>
  <c r="W5" i="45"/>
  <c r="W20" i="44"/>
  <c r="W21" i="44"/>
  <c r="W22" i="44"/>
  <c r="W23" i="44"/>
  <c r="W24" i="44"/>
  <c r="W25" i="44"/>
  <c r="W26" i="44"/>
  <c r="W27" i="44"/>
  <c r="W28" i="44"/>
  <c r="W29" i="44"/>
  <c r="W30" i="44"/>
  <c r="W31" i="44"/>
  <c r="W32" i="44"/>
  <c r="W33" i="44"/>
  <c r="W34" i="44"/>
  <c r="W35" i="44"/>
  <c r="W36" i="44"/>
  <c r="W37" i="44"/>
  <c r="W38" i="44"/>
  <c r="W39" i="44"/>
  <c r="W19" i="44"/>
  <c r="W16" i="44"/>
  <c r="W17" i="44"/>
  <c r="W15" i="44"/>
  <c r="W14" i="44"/>
  <c r="W8" i="44"/>
  <c r="W6" i="44"/>
  <c r="W7" i="44"/>
  <c r="W5" i="44"/>
  <c r="W40" i="44" l="1"/>
  <c r="M42" i="44" s="1"/>
  <c r="W20" i="53"/>
  <c r="W16" i="51"/>
  <c r="W10" i="47"/>
  <c r="W30" i="46"/>
  <c r="M31" i="46" s="1"/>
  <c r="W14" i="46"/>
  <c r="W22" i="56"/>
  <c r="M23" i="56" s="1"/>
  <c r="W20" i="55"/>
  <c r="M21" i="55" s="1"/>
  <c r="W97" i="52"/>
  <c r="M98" i="52" s="1"/>
  <c r="W7" i="45"/>
  <c r="M8" i="45" s="1"/>
  <c r="W12" i="57"/>
  <c r="W12" i="50"/>
  <c r="W40" i="54"/>
  <c r="M41" i="54" s="1"/>
  <c r="W10" i="49"/>
  <c r="M11" i="49" s="1"/>
  <c r="T12" i="44" l="1"/>
  <c r="U9" i="57" l="1"/>
  <c r="T9" i="57"/>
  <c r="U8" i="57"/>
  <c r="T8" i="57"/>
  <c r="V8" i="57" s="1"/>
  <c r="V9" i="57" l="1"/>
  <c r="T96" i="52"/>
  <c r="U96" i="52"/>
  <c r="U95" i="52"/>
  <c r="T95" i="52"/>
  <c r="U94" i="52"/>
  <c r="T94" i="52"/>
  <c r="U93" i="52"/>
  <c r="T93" i="52"/>
  <c r="U92" i="52"/>
  <c r="T92" i="52"/>
  <c r="U91" i="52"/>
  <c r="T91" i="52"/>
  <c r="U90" i="52"/>
  <c r="T90" i="52"/>
  <c r="U89" i="52"/>
  <c r="T89" i="52"/>
  <c r="U88" i="52"/>
  <c r="T88" i="52"/>
  <c r="U87" i="52"/>
  <c r="T87" i="52"/>
  <c r="U86" i="52"/>
  <c r="T86" i="52"/>
  <c r="U85" i="52"/>
  <c r="T85" i="52"/>
  <c r="U84" i="52"/>
  <c r="T84" i="52"/>
  <c r="U83" i="52"/>
  <c r="T83" i="52"/>
  <c r="U82" i="52"/>
  <c r="T82" i="52"/>
  <c r="U81" i="52"/>
  <c r="T81" i="52"/>
  <c r="U80" i="52"/>
  <c r="T80" i="52"/>
  <c r="U79" i="52"/>
  <c r="T79" i="52"/>
  <c r="U78" i="52"/>
  <c r="T78" i="52"/>
  <c r="U77" i="52"/>
  <c r="T77" i="52"/>
  <c r="U76" i="52"/>
  <c r="T76" i="52"/>
  <c r="U75" i="52"/>
  <c r="T75" i="52"/>
  <c r="U74" i="52"/>
  <c r="T74" i="52"/>
  <c r="U73" i="52"/>
  <c r="T73" i="52"/>
  <c r="U72" i="52"/>
  <c r="T72" i="52"/>
  <c r="U71" i="52"/>
  <c r="T71" i="52"/>
  <c r="U70" i="52"/>
  <c r="T70" i="52"/>
  <c r="U69" i="52"/>
  <c r="T69" i="52"/>
  <c r="U68" i="52"/>
  <c r="T68" i="52"/>
  <c r="U67" i="52"/>
  <c r="T67" i="52"/>
  <c r="U66" i="52"/>
  <c r="T66" i="52"/>
  <c r="U65" i="52"/>
  <c r="T65" i="52"/>
  <c r="U64" i="52"/>
  <c r="T64" i="52"/>
  <c r="U62" i="52"/>
  <c r="T62" i="52"/>
  <c r="U61" i="52"/>
  <c r="T61" i="52"/>
  <c r="U60" i="52"/>
  <c r="T60" i="52"/>
  <c r="U59" i="52"/>
  <c r="T59" i="52"/>
  <c r="U58" i="52"/>
  <c r="T58" i="52"/>
  <c r="U57" i="52"/>
  <c r="T57" i="52"/>
  <c r="U56" i="52"/>
  <c r="T56" i="52"/>
  <c r="U55" i="52"/>
  <c r="T55" i="52"/>
  <c r="U54" i="52"/>
  <c r="T54" i="52"/>
  <c r="U53" i="52"/>
  <c r="T53" i="52"/>
  <c r="U52" i="52"/>
  <c r="T52" i="52"/>
  <c r="U51" i="52"/>
  <c r="T51" i="52"/>
  <c r="U50" i="52"/>
  <c r="T50" i="52"/>
  <c r="U49" i="52"/>
  <c r="T49" i="52"/>
  <c r="U48" i="52"/>
  <c r="T48" i="52"/>
  <c r="U47" i="52"/>
  <c r="T47" i="52"/>
  <c r="U46" i="52"/>
  <c r="T46" i="52"/>
  <c r="U45" i="52"/>
  <c r="T45" i="52"/>
  <c r="U44" i="52"/>
  <c r="T44" i="52"/>
  <c r="U43" i="52"/>
  <c r="T43" i="52"/>
  <c r="U42" i="52"/>
  <c r="T42" i="52"/>
  <c r="U41" i="52"/>
  <c r="T41" i="52"/>
  <c r="U40" i="52"/>
  <c r="T40" i="52"/>
  <c r="U39" i="52"/>
  <c r="T39" i="52"/>
  <c r="U38" i="52"/>
  <c r="T38" i="52"/>
  <c r="U37" i="52"/>
  <c r="T37" i="52"/>
  <c r="U36" i="52"/>
  <c r="T36" i="52"/>
  <c r="U35" i="52"/>
  <c r="T35" i="52"/>
  <c r="U34" i="52"/>
  <c r="T34" i="52"/>
  <c r="U33" i="52"/>
  <c r="T33" i="52"/>
  <c r="U32" i="52"/>
  <c r="T32" i="52"/>
  <c r="U31" i="52"/>
  <c r="T31" i="52"/>
  <c r="U30" i="52"/>
  <c r="T30" i="52"/>
  <c r="U29" i="52"/>
  <c r="T29" i="52"/>
  <c r="U28" i="52"/>
  <c r="T28" i="52"/>
  <c r="U27" i="52"/>
  <c r="T27" i="52"/>
  <c r="U26" i="52"/>
  <c r="T26" i="52"/>
  <c r="U25" i="52"/>
  <c r="T25" i="52"/>
  <c r="U24" i="52"/>
  <c r="T24" i="52"/>
  <c r="U23" i="52"/>
  <c r="T23" i="52"/>
  <c r="U22" i="52"/>
  <c r="T22" i="52"/>
  <c r="U21" i="52"/>
  <c r="T21" i="52"/>
  <c r="U20" i="52"/>
  <c r="T20" i="52"/>
  <c r="U19" i="52"/>
  <c r="T19" i="52"/>
  <c r="U18" i="52"/>
  <c r="T18" i="52"/>
  <c r="U17" i="52"/>
  <c r="T17" i="52"/>
  <c r="U16" i="52"/>
  <c r="T16" i="52"/>
  <c r="U15" i="52"/>
  <c r="T15" i="52"/>
  <c r="U14" i="52"/>
  <c r="T14" i="52"/>
  <c r="U13" i="52"/>
  <c r="T13" i="52"/>
  <c r="U12" i="52"/>
  <c r="T12" i="52"/>
  <c r="U11" i="52"/>
  <c r="T11" i="52"/>
  <c r="U10" i="52"/>
  <c r="T10" i="52"/>
  <c r="U9" i="52"/>
  <c r="T9" i="52"/>
  <c r="U8" i="52"/>
  <c r="T8" i="52"/>
  <c r="U7" i="52"/>
  <c r="T7" i="52"/>
  <c r="U6" i="52"/>
  <c r="T6" i="52"/>
  <c r="T5" i="52"/>
  <c r="U5" i="52"/>
  <c r="T5" i="56"/>
  <c r="U5" i="56"/>
  <c r="T6" i="56"/>
  <c r="U6" i="56"/>
  <c r="T7" i="56"/>
  <c r="U7" i="56"/>
  <c r="T8" i="56"/>
  <c r="U8" i="56"/>
  <c r="T9" i="56"/>
  <c r="U9" i="56"/>
  <c r="T10" i="56"/>
  <c r="U10" i="56"/>
  <c r="T11" i="56"/>
  <c r="U11" i="56"/>
  <c r="T12" i="56"/>
  <c r="U12" i="56"/>
  <c r="T13" i="56"/>
  <c r="U13" i="56"/>
  <c r="T14" i="56"/>
  <c r="U14" i="56"/>
  <c r="T15" i="56"/>
  <c r="U15" i="56"/>
  <c r="T16" i="56"/>
  <c r="U16" i="56"/>
  <c r="T17" i="56"/>
  <c r="U17" i="56"/>
  <c r="T18" i="56"/>
  <c r="U18" i="56"/>
  <c r="T19" i="56"/>
  <c r="U19" i="56"/>
  <c r="T20" i="56"/>
  <c r="U20" i="56"/>
  <c r="T21" i="56"/>
  <c r="U21" i="56"/>
  <c r="T5" i="55"/>
  <c r="U5" i="55"/>
  <c r="T6" i="55"/>
  <c r="U6" i="55"/>
  <c r="T7" i="55"/>
  <c r="U7" i="55"/>
  <c r="T8" i="55"/>
  <c r="U8" i="55"/>
  <c r="T9" i="55"/>
  <c r="U9" i="55"/>
  <c r="T10" i="55"/>
  <c r="U10" i="55"/>
  <c r="T11" i="55"/>
  <c r="U11" i="55"/>
  <c r="T12" i="55"/>
  <c r="U12" i="55"/>
  <c r="T13" i="55"/>
  <c r="U13" i="55"/>
  <c r="T14" i="55"/>
  <c r="U14" i="55"/>
  <c r="T15" i="55"/>
  <c r="U15" i="55"/>
  <c r="T16" i="55"/>
  <c r="U16" i="55"/>
  <c r="T17" i="55"/>
  <c r="U17" i="55"/>
  <c r="T18" i="55"/>
  <c r="U18" i="55"/>
  <c r="T19" i="55"/>
  <c r="U19" i="55"/>
  <c r="T6" i="54"/>
  <c r="U6" i="54"/>
  <c r="T7" i="54"/>
  <c r="U7" i="54"/>
  <c r="T8" i="54"/>
  <c r="U8" i="54"/>
  <c r="T9" i="54"/>
  <c r="U9" i="54"/>
  <c r="T10" i="54"/>
  <c r="U10" i="54"/>
  <c r="T11" i="54"/>
  <c r="U11" i="54"/>
  <c r="T12" i="54"/>
  <c r="U12" i="54"/>
  <c r="T13" i="54"/>
  <c r="U13" i="54"/>
  <c r="T14" i="54"/>
  <c r="U14" i="54"/>
  <c r="T15" i="54"/>
  <c r="U15" i="54"/>
  <c r="T16" i="54"/>
  <c r="U16" i="54"/>
  <c r="T17" i="54"/>
  <c r="U17" i="54"/>
  <c r="T18" i="54"/>
  <c r="U18" i="54"/>
  <c r="T19" i="54"/>
  <c r="U19" i="54"/>
  <c r="T20" i="54"/>
  <c r="U20" i="54"/>
  <c r="T21" i="54"/>
  <c r="U21" i="54"/>
  <c r="T22" i="54"/>
  <c r="U22" i="54"/>
  <c r="T23" i="54"/>
  <c r="U23" i="54"/>
  <c r="T24" i="54"/>
  <c r="U24" i="54"/>
  <c r="T25" i="54"/>
  <c r="U25" i="54"/>
  <c r="T26" i="54"/>
  <c r="V26" i="54" s="1"/>
  <c r="U26" i="54"/>
  <c r="T27" i="54"/>
  <c r="U27" i="54"/>
  <c r="T28" i="54"/>
  <c r="U28" i="54"/>
  <c r="T29" i="54"/>
  <c r="U29" i="54"/>
  <c r="T30" i="54"/>
  <c r="U30" i="54"/>
  <c r="T31" i="54"/>
  <c r="U31" i="54"/>
  <c r="T32" i="54"/>
  <c r="U32" i="54"/>
  <c r="T33" i="54"/>
  <c r="U33" i="54"/>
  <c r="T34" i="54"/>
  <c r="U34" i="54"/>
  <c r="T35" i="54"/>
  <c r="U35" i="54"/>
  <c r="T36" i="54"/>
  <c r="U36" i="54"/>
  <c r="T37" i="54"/>
  <c r="U37" i="54"/>
  <c r="T38" i="54"/>
  <c r="U38" i="54"/>
  <c r="T39" i="54"/>
  <c r="U39" i="54"/>
  <c r="T5" i="53"/>
  <c r="U5" i="53"/>
  <c r="T6" i="53"/>
  <c r="U6" i="53"/>
  <c r="T7" i="53"/>
  <c r="U7" i="53"/>
  <c r="T8" i="53"/>
  <c r="U8" i="53"/>
  <c r="T9" i="53"/>
  <c r="U9" i="53"/>
  <c r="T10" i="53"/>
  <c r="U10" i="53"/>
  <c r="T11" i="53"/>
  <c r="U11" i="53"/>
  <c r="T12" i="53"/>
  <c r="U12" i="53"/>
  <c r="T13" i="53"/>
  <c r="U13" i="53"/>
  <c r="T14" i="53"/>
  <c r="U14" i="53"/>
  <c r="T15" i="53"/>
  <c r="U15" i="53"/>
  <c r="T16" i="53"/>
  <c r="U16" i="53"/>
  <c r="T17" i="53"/>
  <c r="U17" i="53"/>
  <c r="T18" i="53"/>
  <c r="U18" i="53"/>
  <c r="T19" i="53"/>
  <c r="U19" i="53"/>
  <c r="T5" i="51"/>
  <c r="U5" i="51"/>
  <c r="T6" i="51"/>
  <c r="U6" i="51"/>
  <c r="T7" i="51"/>
  <c r="U7" i="51"/>
  <c r="T8" i="51"/>
  <c r="U8" i="51"/>
  <c r="T9" i="51"/>
  <c r="U9" i="51"/>
  <c r="T10" i="51"/>
  <c r="U10" i="51"/>
  <c r="T11" i="51"/>
  <c r="U11" i="51"/>
  <c r="T12" i="51"/>
  <c r="U12" i="51"/>
  <c r="T13" i="51"/>
  <c r="U13" i="51"/>
  <c r="T14" i="51"/>
  <c r="U14" i="51"/>
  <c r="T15" i="51"/>
  <c r="U15" i="51"/>
  <c r="U5" i="50"/>
  <c r="U6" i="50"/>
  <c r="U7" i="50"/>
  <c r="U8" i="50"/>
  <c r="U9" i="50"/>
  <c r="U10" i="50"/>
  <c r="U11" i="50"/>
  <c r="T5" i="49"/>
  <c r="U5" i="49"/>
  <c r="T6" i="49"/>
  <c r="U6" i="49"/>
  <c r="T7" i="49"/>
  <c r="U7" i="49"/>
  <c r="T8" i="49"/>
  <c r="U8" i="49"/>
  <c r="T9" i="49"/>
  <c r="U9" i="49"/>
  <c r="T5" i="48"/>
  <c r="U5" i="48"/>
  <c r="T6" i="48"/>
  <c r="U6" i="48"/>
  <c r="T7" i="48"/>
  <c r="U7" i="48"/>
  <c r="T8" i="48"/>
  <c r="U8" i="48"/>
  <c r="T9" i="48"/>
  <c r="U9" i="48"/>
  <c r="T10" i="48"/>
  <c r="U10" i="48"/>
  <c r="T5" i="47"/>
  <c r="U5" i="47"/>
  <c r="T6" i="47"/>
  <c r="U6" i="47"/>
  <c r="T7" i="47"/>
  <c r="U7" i="47"/>
  <c r="T8" i="47"/>
  <c r="U8" i="47"/>
  <c r="T9" i="47"/>
  <c r="U9" i="47"/>
  <c r="U4" i="56"/>
  <c r="T4" i="56"/>
  <c r="U4" i="55"/>
  <c r="T4" i="55"/>
  <c r="U5" i="54"/>
  <c r="T5" i="54"/>
  <c r="U4" i="53"/>
  <c r="T4" i="53"/>
  <c r="U4" i="51"/>
  <c r="T4" i="51"/>
  <c r="U4" i="50"/>
  <c r="U4" i="49"/>
  <c r="T4" i="49"/>
  <c r="U4" i="48"/>
  <c r="T4" i="48"/>
  <c r="U4" i="47"/>
  <c r="T4" i="47"/>
  <c r="T6" i="46"/>
  <c r="U6" i="46"/>
  <c r="T7" i="46"/>
  <c r="U7" i="46"/>
  <c r="T8" i="46"/>
  <c r="U8" i="46"/>
  <c r="T9" i="46"/>
  <c r="U9" i="46"/>
  <c r="U5" i="46"/>
  <c r="T5" i="46"/>
  <c r="T11" i="46"/>
  <c r="U11" i="46"/>
  <c r="T12" i="46"/>
  <c r="U12" i="46"/>
  <c r="T13" i="46"/>
  <c r="U13" i="46"/>
  <c r="T14" i="46"/>
  <c r="U14" i="46"/>
  <c r="T15" i="46"/>
  <c r="U15" i="46"/>
  <c r="T16" i="46"/>
  <c r="U16" i="46"/>
  <c r="T17" i="46"/>
  <c r="U17" i="46"/>
  <c r="T18" i="46"/>
  <c r="U18" i="46"/>
  <c r="T19" i="46"/>
  <c r="U19" i="46"/>
  <c r="T20" i="46"/>
  <c r="U20" i="46"/>
  <c r="T21" i="46"/>
  <c r="U21" i="46"/>
  <c r="T22" i="46"/>
  <c r="U22" i="46"/>
  <c r="T23" i="46"/>
  <c r="U23" i="46"/>
  <c r="T24" i="46"/>
  <c r="U24" i="46"/>
  <c r="T25" i="46"/>
  <c r="U25" i="46"/>
  <c r="T26" i="46"/>
  <c r="U26" i="46"/>
  <c r="T27" i="46"/>
  <c r="U27" i="46"/>
  <c r="T28" i="46"/>
  <c r="U28" i="46"/>
  <c r="T29" i="46"/>
  <c r="U29" i="46"/>
  <c r="U10" i="46"/>
  <c r="T10" i="46"/>
  <c r="T6" i="45"/>
  <c r="U6" i="45"/>
  <c r="U5" i="45"/>
  <c r="T5" i="45"/>
  <c r="T5" i="44"/>
  <c r="U5" i="44"/>
  <c r="T6" i="44"/>
  <c r="U6" i="44"/>
  <c r="T7" i="44"/>
  <c r="U7" i="44"/>
  <c r="T8" i="44"/>
  <c r="U8" i="44"/>
  <c r="T9" i="44"/>
  <c r="U9" i="44"/>
  <c r="T10" i="44"/>
  <c r="U10" i="44"/>
  <c r="T11" i="44"/>
  <c r="U11" i="44"/>
  <c r="U12" i="44"/>
  <c r="T13" i="44"/>
  <c r="U13" i="44"/>
  <c r="T14" i="44"/>
  <c r="U14" i="44"/>
  <c r="T15" i="44"/>
  <c r="U15" i="44"/>
  <c r="T16" i="44"/>
  <c r="U16" i="44"/>
  <c r="T17" i="44"/>
  <c r="U17" i="44"/>
  <c r="T18" i="44"/>
  <c r="U18" i="44"/>
  <c r="T19" i="44"/>
  <c r="U19" i="44"/>
  <c r="T20" i="44"/>
  <c r="U20" i="44"/>
  <c r="T21" i="44"/>
  <c r="U21" i="44"/>
  <c r="T22" i="44"/>
  <c r="U22" i="44"/>
  <c r="T23" i="44"/>
  <c r="U23" i="44"/>
  <c r="T24" i="44"/>
  <c r="U24" i="44"/>
  <c r="T25" i="44"/>
  <c r="U25" i="44"/>
  <c r="T26" i="44"/>
  <c r="U26" i="44"/>
  <c r="T27" i="44"/>
  <c r="U27" i="44"/>
  <c r="T28" i="44"/>
  <c r="U28" i="44"/>
  <c r="T29" i="44"/>
  <c r="U29" i="44"/>
  <c r="T30" i="44"/>
  <c r="U30" i="44"/>
  <c r="T31" i="44"/>
  <c r="U31" i="44"/>
  <c r="T32" i="44"/>
  <c r="U32" i="44"/>
  <c r="T33" i="44"/>
  <c r="U33" i="44"/>
  <c r="T34" i="44"/>
  <c r="U34" i="44"/>
  <c r="T35" i="44"/>
  <c r="U35" i="44"/>
  <c r="T36" i="44"/>
  <c r="U36" i="44"/>
  <c r="T37" i="44"/>
  <c r="U37" i="44"/>
  <c r="T38" i="44"/>
  <c r="U38" i="44"/>
  <c r="T39" i="44"/>
  <c r="U39" i="44"/>
  <c r="V37" i="54" l="1"/>
  <c r="V4" i="48"/>
  <c r="V17" i="52"/>
  <c r="V25" i="52"/>
  <c r="V37" i="52"/>
  <c r="V53" i="52"/>
  <c r="V70" i="52"/>
  <c r="V74" i="52"/>
  <c r="V17" i="56"/>
  <c r="V78" i="52"/>
  <c r="V4" i="47"/>
  <c r="V12" i="56"/>
  <c r="V29" i="54"/>
  <c r="V6" i="54"/>
  <c r="V12" i="53"/>
  <c r="V57" i="52"/>
  <c r="V21" i="52"/>
  <c r="V4" i="51"/>
  <c r="V18" i="54"/>
  <c r="V11" i="52"/>
  <c r="V19" i="52"/>
  <c r="V23" i="52"/>
  <c r="V10" i="52"/>
  <c r="V50" i="52"/>
  <c r="V58" i="52"/>
  <c r="V62" i="52"/>
  <c r="V67" i="52"/>
  <c r="V75" i="52"/>
  <c r="V22" i="54"/>
  <c r="V10" i="54"/>
  <c r="V7" i="54"/>
  <c r="V14" i="56"/>
  <c r="V10" i="56"/>
  <c r="V9" i="56"/>
  <c r="V7" i="56"/>
  <c r="V6" i="56"/>
  <c r="V16" i="55"/>
  <c r="V15" i="55"/>
  <c r="V9" i="55"/>
  <c r="V6" i="55"/>
  <c r="V29" i="52"/>
  <c r="V13" i="52"/>
  <c r="V31" i="54"/>
  <c r="V27" i="54"/>
  <c r="V17" i="53"/>
  <c r="V15" i="53"/>
  <c r="V14" i="53"/>
  <c r="V10" i="53"/>
  <c r="V9" i="53"/>
  <c r="V8" i="53"/>
  <c r="V7" i="53"/>
  <c r="V96" i="52"/>
  <c r="V10" i="51"/>
  <c r="V9" i="51"/>
  <c r="V8" i="51"/>
  <c r="V5" i="51"/>
  <c r="V11" i="50"/>
  <c r="V9" i="50"/>
  <c r="V7" i="50"/>
  <c r="V5" i="50"/>
  <c r="V9" i="47"/>
  <c r="V7" i="47"/>
  <c r="V5" i="49"/>
  <c r="V4" i="49"/>
  <c r="V37" i="44"/>
  <c r="V25" i="44"/>
  <c r="V13" i="44"/>
  <c r="V9" i="44"/>
  <c r="V18" i="44"/>
  <c r="V30" i="44"/>
  <c r="V22" i="44"/>
  <c r="V33" i="44"/>
  <c r="V21" i="44"/>
  <c r="V17" i="44"/>
  <c r="V34" i="44"/>
  <c r="V29" i="44"/>
  <c r="V14" i="44"/>
  <c r="V5" i="56"/>
  <c r="V8" i="56"/>
  <c r="V11" i="56"/>
  <c r="V4" i="56"/>
  <c r="V18" i="56"/>
  <c r="V11" i="55"/>
  <c r="V18" i="55"/>
  <c r="V17" i="55"/>
  <c r="V13" i="55"/>
  <c r="V33" i="54"/>
  <c r="V17" i="54"/>
  <c r="V13" i="54"/>
  <c r="V36" i="54"/>
  <c r="V24" i="54"/>
  <c r="V20" i="54"/>
  <c r="V16" i="54"/>
  <c r="V12" i="54"/>
  <c r="V38" i="54"/>
  <c r="V34" i="54"/>
  <c r="V13" i="53"/>
  <c r="V6" i="53"/>
  <c r="V16" i="53"/>
  <c r="V5" i="53"/>
  <c r="V19" i="53"/>
  <c r="V18" i="53"/>
  <c r="V11" i="53"/>
  <c r="V82" i="52"/>
  <c r="V86" i="52"/>
  <c r="V94" i="52"/>
  <c r="V22" i="52"/>
  <c r="V88" i="52"/>
  <c r="V12" i="51"/>
  <c r="V7" i="51"/>
  <c r="V8" i="50"/>
  <c r="V4" i="50"/>
  <c r="V8" i="49"/>
  <c r="V6" i="48"/>
  <c r="V10" i="48"/>
  <c r="V8" i="47"/>
  <c r="V6" i="47"/>
  <c r="V5" i="47"/>
  <c r="V5" i="46"/>
  <c r="V36" i="44"/>
  <c r="V28" i="44"/>
  <c r="V20" i="44"/>
  <c r="V12" i="44"/>
  <c r="V21" i="56"/>
  <c r="V20" i="56"/>
  <c r="V13" i="56"/>
  <c r="V16" i="56"/>
  <c r="V19" i="56"/>
  <c r="V15" i="56"/>
  <c r="V10" i="55"/>
  <c r="V7" i="55"/>
  <c r="V4" i="55"/>
  <c r="V12" i="55"/>
  <c r="V19" i="55"/>
  <c r="V8" i="55"/>
  <c r="V8" i="54"/>
  <c r="V30" i="54"/>
  <c r="V15" i="54"/>
  <c r="V11" i="54"/>
  <c r="V19" i="54"/>
  <c r="V25" i="54"/>
  <c r="V21" i="54"/>
  <c r="V14" i="54"/>
  <c r="V23" i="54"/>
  <c r="V39" i="54"/>
  <c r="V35" i="54"/>
  <c r="V32" i="54"/>
  <c r="V28" i="54"/>
  <c r="V9" i="54"/>
  <c r="V5" i="54"/>
  <c r="V7" i="49"/>
  <c r="V6" i="49"/>
  <c r="V9" i="49"/>
  <c r="V52" i="52"/>
  <c r="V56" i="52"/>
  <c r="V65" i="52"/>
  <c r="V77" i="52"/>
  <c r="V81" i="52"/>
  <c r="V30" i="52"/>
  <c r="V34" i="52"/>
  <c r="V38" i="52"/>
  <c r="V42" i="52"/>
  <c r="V46" i="52"/>
  <c r="V66" i="52"/>
  <c r="V45" i="52"/>
  <c r="V91" i="52"/>
  <c r="V39" i="52"/>
  <c r="V16" i="52"/>
  <c r="V20" i="52"/>
  <c r="V24" i="52"/>
  <c r="V28" i="52"/>
  <c r="V32" i="52"/>
  <c r="V36" i="52"/>
  <c r="V40" i="52"/>
  <c r="V44" i="52"/>
  <c r="V12" i="52"/>
  <c r="V54" i="52"/>
  <c r="V61" i="52"/>
  <c r="V89" i="52"/>
  <c r="V90" i="52"/>
  <c r="V59" i="52"/>
  <c r="V64" i="52"/>
  <c r="V71" i="52"/>
  <c r="V83" i="52"/>
  <c r="V95" i="52"/>
  <c r="V41" i="52"/>
  <c r="V49" i="52"/>
  <c r="V72" i="52"/>
  <c r="V80" i="52"/>
  <c r="V84" i="52"/>
  <c r="V92" i="52"/>
  <c r="V6" i="51"/>
  <c r="V15" i="51"/>
  <c r="V13" i="51"/>
  <c r="V11" i="51"/>
  <c r="V14" i="51"/>
  <c r="V10" i="50"/>
  <c r="V6" i="50"/>
  <c r="V8" i="48"/>
  <c r="V7" i="48"/>
  <c r="V9" i="48"/>
  <c r="V39" i="44"/>
  <c r="V31" i="44"/>
  <c r="V15" i="44"/>
  <c r="V23" i="44"/>
  <c r="V35" i="44"/>
  <c r="V38" i="44"/>
  <c r="V26" i="44"/>
  <c r="V14" i="55"/>
  <c r="V5" i="55"/>
  <c r="V26" i="52"/>
  <c r="V8" i="52"/>
  <c r="V87" i="52"/>
  <c r="V6" i="52"/>
  <c r="V9" i="52"/>
  <c r="V33" i="52"/>
  <c r="V43" i="52"/>
  <c r="V60" i="52"/>
  <c r="V27" i="52"/>
  <c r="V47" i="52"/>
  <c r="V68" i="52"/>
  <c r="V7" i="52"/>
  <c r="V14" i="52"/>
  <c r="V85" i="52"/>
  <c r="V31" i="52"/>
  <c r="V48" i="52"/>
  <c r="V51" i="52"/>
  <c r="V69" i="52"/>
  <c r="V79" i="52"/>
  <c r="V15" i="52"/>
  <c r="V35" i="52"/>
  <c r="V55" i="52"/>
  <c r="V73" i="52"/>
  <c r="V76" i="52"/>
  <c r="V93" i="52"/>
  <c r="V23" i="46"/>
  <c r="V4" i="53"/>
  <c r="V5" i="48"/>
  <c r="V9" i="46"/>
  <c r="V7" i="46"/>
  <c r="V15" i="46"/>
  <c r="V11" i="46"/>
  <c r="V8" i="46"/>
  <c r="V17" i="46"/>
  <c r="V13" i="46"/>
  <c r="V6" i="46"/>
  <c r="V24" i="46"/>
  <c r="V26" i="46"/>
  <c r="V22" i="46"/>
  <c r="V20" i="46"/>
  <c r="V27" i="46"/>
  <c r="V10" i="46"/>
  <c r="V18" i="46"/>
  <c r="V25" i="46"/>
  <c r="V16" i="46"/>
  <c r="V19" i="46"/>
  <c r="V12" i="46"/>
  <c r="V29" i="46"/>
  <c r="V14" i="46"/>
  <c r="V28" i="46"/>
  <c r="V21" i="46"/>
  <c r="V6" i="45"/>
  <c r="V5" i="45"/>
  <c r="V18" i="52"/>
  <c r="V5" i="52"/>
  <c r="V19" i="44"/>
  <c r="V27" i="44"/>
  <c r="V6" i="44"/>
  <c r="V10" i="44"/>
  <c r="V24" i="44"/>
  <c r="V7" i="44"/>
  <c r="V11" i="44"/>
  <c r="V8" i="44"/>
  <c r="V16" i="44"/>
  <c r="V32" i="44"/>
  <c r="V5" i="44"/>
  <c r="M10" i="44" l="1"/>
  <c r="M9" i="57" l="1"/>
  <c r="M8" i="57"/>
  <c r="M21" i="56"/>
  <c r="M20" i="56"/>
  <c r="M19" i="56"/>
  <c r="M18" i="56"/>
  <c r="M17" i="56"/>
  <c r="M16" i="56"/>
  <c r="M15" i="56"/>
  <c r="M14" i="56"/>
  <c r="M13" i="56"/>
  <c r="M12" i="56"/>
  <c r="M11" i="56"/>
  <c r="M10" i="56"/>
  <c r="M9" i="56"/>
  <c r="M8" i="56"/>
  <c r="M7" i="56"/>
  <c r="M6" i="56"/>
  <c r="M5" i="56"/>
  <c r="M4" i="56"/>
  <c r="M19" i="55"/>
  <c r="M18" i="55"/>
  <c r="M17" i="55"/>
  <c r="M16" i="55"/>
  <c r="M15" i="55"/>
  <c r="M14" i="55"/>
  <c r="M13" i="55"/>
  <c r="M12" i="55"/>
  <c r="M11" i="55"/>
  <c r="M10" i="55"/>
  <c r="M9" i="55"/>
  <c r="M8" i="55"/>
  <c r="M7" i="55"/>
  <c r="M6" i="55"/>
  <c r="M5" i="55"/>
  <c r="M4" i="55"/>
  <c r="M39" i="54"/>
  <c r="M38" i="54"/>
  <c r="M36" i="54"/>
  <c r="M35" i="54"/>
  <c r="M34" i="54"/>
  <c r="M33" i="54"/>
  <c r="M32" i="54"/>
  <c r="M31" i="54"/>
  <c r="M30" i="54"/>
  <c r="M29" i="54"/>
  <c r="M28" i="54"/>
  <c r="M27" i="54"/>
  <c r="M26" i="54"/>
  <c r="M25" i="54"/>
  <c r="M24" i="54"/>
  <c r="M23" i="54"/>
  <c r="M22" i="54"/>
  <c r="M21" i="54"/>
  <c r="M20" i="54"/>
  <c r="M19" i="54"/>
  <c r="M18" i="54"/>
  <c r="M17" i="54"/>
  <c r="M16" i="54"/>
  <c r="M15" i="54"/>
  <c r="M13" i="54"/>
  <c r="M11" i="54"/>
  <c r="M10" i="54"/>
  <c r="M9" i="54"/>
  <c r="M8" i="54"/>
  <c r="M7" i="54"/>
  <c r="M6" i="54"/>
  <c r="M5" i="54"/>
  <c r="M19" i="53"/>
  <c r="M18" i="53"/>
  <c r="M17" i="53"/>
  <c r="M16" i="53"/>
  <c r="M15" i="53"/>
  <c r="M14" i="53"/>
  <c r="M13" i="53"/>
  <c r="M12" i="53"/>
  <c r="M11" i="53"/>
  <c r="M10" i="53"/>
  <c r="M9" i="53"/>
  <c r="M8" i="53"/>
  <c r="M7" i="53"/>
  <c r="M6" i="53"/>
  <c r="M5" i="53"/>
  <c r="M4" i="53"/>
  <c r="M96" i="52"/>
  <c r="M95" i="52"/>
  <c r="M94" i="52"/>
  <c r="M93" i="52"/>
  <c r="M90" i="52"/>
  <c r="M89" i="52"/>
  <c r="M88" i="52"/>
  <c r="M87" i="52"/>
  <c r="M86" i="52"/>
  <c r="M85" i="52"/>
  <c r="M84" i="52"/>
  <c r="M83" i="52"/>
  <c r="M82" i="52"/>
  <c r="M80" i="52"/>
  <c r="M79" i="52"/>
  <c r="M78" i="52"/>
  <c r="M77" i="52"/>
  <c r="M75" i="52"/>
  <c r="M74" i="52"/>
  <c r="M73" i="52"/>
  <c r="M72" i="52"/>
  <c r="M71" i="52"/>
  <c r="M70" i="52"/>
  <c r="M68" i="52"/>
  <c r="M67" i="52"/>
  <c r="M66" i="52"/>
  <c r="M65" i="52"/>
  <c r="M64" i="52"/>
  <c r="M62" i="52"/>
  <c r="M61" i="52"/>
  <c r="M60" i="52"/>
  <c r="M59" i="52"/>
  <c r="M58" i="52"/>
  <c r="M57" i="52"/>
  <c r="M56" i="52"/>
  <c r="M54" i="52"/>
  <c r="M53" i="52"/>
  <c r="M52" i="52"/>
  <c r="M51" i="52"/>
  <c r="M49" i="52"/>
  <c r="M48" i="52"/>
  <c r="M47" i="52"/>
  <c r="M46" i="52"/>
  <c r="M45" i="52"/>
  <c r="M44" i="52"/>
  <c r="M43" i="52"/>
  <c r="M42" i="52"/>
  <c r="M41" i="52"/>
  <c r="M40" i="52"/>
  <c r="M39" i="52"/>
  <c r="M38" i="52"/>
  <c r="M37" i="52"/>
  <c r="M36" i="52"/>
  <c r="M35" i="52"/>
  <c r="M33" i="52"/>
  <c r="M32" i="52"/>
  <c r="M31" i="52"/>
  <c r="M30" i="52"/>
  <c r="M29" i="52"/>
  <c r="M28" i="52"/>
  <c r="M27" i="52"/>
  <c r="M26" i="52"/>
  <c r="M24" i="52"/>
  <c r="M23" i="52"/>
  <c r="M22" i="52"/>
  <c r="M21" i="52"/>
  <c r="M19" i="52"/>
  <c r="M18" i="52"/>
  <c r="M17" i="52"/>
  <c r="M16" i="52"/>
  <c r="M15" i="52"/>
  <c r="M14" i="52"/>
  <c r="M13" i="52"/>
  <c r="M12" i="52"/>
  <c r="M11" i="52"/>
  <c r="M10" i="52"/>
  <c r="M8" i="52"/>
  <c r="M7" i="52"/>
  <c r="M6" i="52"/>
  <c r="M5" i="52"/>
  <c r="M15" i="51"/>
  <c r="M14" i="51"/>
  <c r="M13" i="51"/>
  <c r="M12" i="51"/>
  <c r="M11" i="51"/>
  <c r="M10" i="51"/>
  <c r="M9" i="51"/>
  <c r="M8" i="51"/>
  <c r="M7" i="51"/>
  <c r="M6" i="51"/>
  <c r="M5" i="51"/>
  <c r="M4" i="51"/>
  <c r="M11" i="50"/>
  <c r="M10" i="50"/>
  <c r="M9" i="50"/>
  <c r="M8" i="50"/>
  <c r="M7" i="50"/>
  <c r="M6" i="50"/>
  <c r="M5" i="50"/>
  <c r="M4" i="50"/>
  <c r="M9" i="49"/>
  <c r="M8" i="49"/>
  <c r="M7" i="49"/>
  <c r="M6" i="49"/>
  <c r="M5" i="49"/>
  <c r="M4" i="49"/>
  <c r="M10" i="48"/>
  <c r="M9" i="48"/>
  <c r="M8" i="48"/>
  <c r="M7" i="48"/>
  <c r="M6" i="48"/>
  <c r="M5" i="48"/>
  <c r="M4" i="48"/>
  <c r="M9" i="47"/>
  <c r="M8" i="47"/>
  <c r="M7" i="47"/>
  <c r="M6" i="47"/>
  <c r="M5" i="47"/>
  <c r="M4" i="47"/>
  <c r="M29" i="46"/>
  <c r="M28" i="46"/>
  <c r="M27" i="46"/>
  <c r="M26" i="46"/>
  <c r="M25" i="46"/>
  <c r="M24" i="46"/>
  <c r="M23" i="46"/>
  <c r="M22" i="46"/>
  <c r="M21" i="46"/>
  <c r="M20" i="46"/>
  <c r="M19" i="46"/>
  <c r="M18" i="46"/>
  <c r="M17" i="46"/>
  <c r="M16" i="46"/>
  <c r="M15" i="46"/>
  <c r="M13" i="46"/>
  <c r="M12" i="46"/>
  <c r="M11" i="46"/>
  <c r="M10" i="46"/>
  <c r="M9" i="46"/>
  <c r="M8" i="46"/>
  <c r="M7" i="46"/>
  <c r="M6" i="46"/>
  <c r="M5" i="46"/>
  <c r="M6" i="45"/>
  <c r="M5" i="45"/>
  <c r="M39" i="44"/>
  <c r="M38" i="44"/>
  <c r="M37" i="44"/>
  <c r="M36" i="44"/>
  <c r="M35" i="44"/>
  <c r="M34" i="44"/>
  <c r="M33" i="44"/>
  <c r="M32" i="44"/>
  <c r="M31" i="44"/>
  <c r="M30" i="44"/>
  <c r="M29" i="44"/>
  <c r="M28" i="44"/>
  <c r="M27" i="44"/>
  <c r="M26" i="44"/>
  <c r="M25" i="44"/>
  <c r="M24" i="44"/>
  <c r="M23" i="44"/>
  <c r="M22" i="44"/>
  <c r="M21" i="44"/>
  <c r="M20" i="44"/>
  <c r="M19" i="44"/>
  <c r="M17" i="44"/>
  <c r="M16" i="44"/>
  <c r="M15" i="44"/>
  <c r="M14" i="44"/>
  <c r="M11" i="44"/>
  <c r="M7" i="44"/>
  <c r="M6" i="44"/>
  <c r="M5" i="44"/>
  <c r="O269" i="59" a="1"/>
  <c r="O270" i="59" a="1"/>
  <c r="O270" i="59" l="1"/>
  <c r="O269" i="59"/>
  <c r="Q255" i="59"/>
  <c r="Q258" i="59"/>
  <c r="Q248" i="59"/>
  <c r="Q252" i="59"/>
  <c r="Q247" i="59"/>
  <c r="Q249" i="59"/>
  <c r="Q231" i="59"/>
  <c r="Q245" i="59"/>
  <c r="Q244" i="59"/>
  <c r="Q232" i="59"/>
  <c r="Q233" i="59"/>
  <c r="Q234" i="59"/>
  <c r="Q235" i="59"/>
  <c r="Q237" i="59"/>
  <c r="Q238" i="59"/>
  <c r="Q236" i="59"/>
  <c r="Q240" i="59"/>
  <c r="Q243" i="59"/>
  <c r="Q241" i="59"/>
  <c r="Q242" i="59"/>
  <c r="Q209" i="59"/>
  <c r="Q219" i="59"/>
  <c r="Q220" i="59"/>
  <c r="Q210" i="59"/>
  <c r="Q199" i="59"/>
  <c r="Q211" i="59"/>
  <c r="Q223" i="59"/>
  <c r="Q212" i="59"/>
  <c r="Q224" i="59"/>
  <c r="Q213" i="59"/>
  <c r="Q225" i="59"/>
  <c r="Q214" i="59"/>
  <c r="Q202" i="59"/>
  <c r="Q203" i="59"/>
  <c r="Q215" i="59"/>
  <c r="Q227" i="59"/>
  <c r="Q201" i="59"/>
  <c r="Q216" i="59"/>
  <c r="Q205" i="59"/>
  <c r="Q217" i="59"/>
  <c r="Q229" i="59"/>
  <c r="Q221" i="59"/>
  <c r="Q200" i="59"/>
  <c r="Q228" i="59"/>
  <c r="Q206" i="59"/>
  <c r="Q218" i="59"/>
  <c r="Q196" i="59"/>
  <c r="Q186" i="59"/>
  <c r="Q187" i="59"/>
  <c r="Q195" i="59"/>
  <c r="Q189" i="59"/>
  <c r="Q190" i="59"/>
  <c r="Q184" i="59"/>
  <c r="Q191" i="59"/>
  <c r="Q197" i="59"/>
  <c r="Q192" i="59"/>
  <c r="Q193" i="59"/>
  <c r="Q185" i="59"/>
  <c r="Q194" i="59"/>
  <c r="Q110" i="59"/>
  <c r="Q171" i="59"/>
  <c r="Q109" i="59"/>
  <c r="Q135" i="59"/>
  <c r="Q147" i="59"/>
  <c r="Q160" i="59"/>
  <c r="Q172" i="59"/>
  <c r="Q158" i="59"/>
  <c r="Q146" i="59"/>
  <c r="Q112" i="59"/>
  <c r="Q125" i="59"/>
  <c r="Q137" i="59"/>
  <c r="Q149" i="59"/>
  <c r="Q162" i="59"/>
  <c r="Q174" i="59"/>
  <c r="Q136" i="59"/>
  <c r="Q102" i="59"/>
  <c r="Q138" i="59"/>
  <c r="Q150" i="59"/>
  <c r="Q175" i="59"/>
  <c r="Q103" i="59"/>
  <c r="Q115" i="59"/>
  <c r="Q127" i="59"/>
  <c r="Q139" i="59"/>
  <c r="Q151" i="59"/>
  <c r="Q164" i="59"/>
  <c r="Q176" i="59"/>
  <c r="Q133" i="59"/>
  <c r="Q122" i="59"/>
  <c r="Q124" i="59"/>
  <c r="Q161" i="59"/>
  <c r="Q116" i="59"/>
  <c r="Q128" i="59"/>
  <c r="Q140" i="59"/>
  <c r="Q153" i="59"/>
  <c r="Q165" i="59"/>
  <c r="Q178" i="59"/>
  <c r="Q130" i="59"/>
  <c r="Q142" i="59"/>
  <c r="Q155" i="59"/>
  <c r="Q121" i="59"/>
  <c r="Q117" i="59"/>
  <c r="Q154" i="59"/>
  <c r="Q166" i="59"/>
  <c r="Q107" i="59"/>
  <c r="Q119" i="59"/>
  <c r="Q131" i="59"/>
  <c r="Q143" i="59"/>
  <c r="Q156" i="59"/>
  <c r="Q168" i="59"/>
  <c r="Q181" i="59"/>
  <c r="Q170" i="59"/>
  <c r="Q105" i="59"/>
  <c r="Q129" i="59"/>
  <c r="Q179" i="59"/>
  <c r="Q108" i="59"/>
  <c r="Q120" i="59"/>
  <c r="Q132" i="59"/>
  <c r="Q169" i="59"/>
  <c r="Q97" i="59"/>
  <c r="Q98" i="59"/>
  <c r="Q89" i="59"/>
  <c r="Q91" i="59"/>
  <c r="Q94" i="59"/>
  <c r="Q96" i="59"/>
  <c r="Q90" i="59"/>
  <c r="Q92" i="59"/>
  <c r="Q95" i="59"/>
  <c r="Q99" i="59"/>
  <c r="Q93" i="59"/>
  <c r="Q85" i="59"/>
  <c r="Q86" i="59"/>
  <c r="Q87" i="59"/>
  <c r="Q81" i="59"/>
  <c r="Q82" i="59"/>
  <c r="Q83" i="59"/>
  <c r="Q84" i="59"/>
  <c r="Q75" i="59"/>
  <c r="Q76" i="59"/>
  <c r="Q78" i="59"/>
  <c r="Q79" i="59"/>
  <c r="Q72" i="59"/>
  <c r="Q68" i="59"/>
  <c r="Q67" i="59"/>
  <c r="Q69" i="59"/>
  <c r="Q70" i="59"/>
  <c r="Q71" i="59"/>
  <c r="Q61" i="59"/>
  <c r="Q62" i="59"/>
  <c r="Q64" i="59"/>
  <c r="Q65" i="59"/>
  <c r="Q63" i="59"/>
  <c r="Q52" i="59"/>
  <c r="Q37" i="59"/>
  <c r="Q38" i="59"/>
  <c r="Q51" i="59"/>
  <c r="Q41" i="59"/>
  <c r="Q53" i="59"/>
  <c r="Q50" i="59"/>
  <c r="Q40" i="59"/>
  <c r="Q42" i="59"/>
  <c r="Q54" i="59"/>
  <c r="Q49" i="59"/>
  <c r="Q43" i="59"/>
  <c r="Q55" i="59"/>
  <c r="Q39" i="59"/>
  <c r="Q56" i="59"/>
  <c r="Q46" i="59"/>
  <c r="Q58" i="59"/>
  <c r="Q44" i="59"/>
  <c r="Q57" i="59"/>
  <c r="Q47" i="59"/>
  <c r="Q35" i="59"/>
  <c r="Q25" i="59"/>
  <c r="Q26" i="59"/>
  <c r="Q27" i="59"/>
  <c r="Q12" i="59"/>
  <c r="Q14" i="59"/>
  <c r="Q15" i="59"/>
  <c r="Q16" i="59"/>
  <c r="Q28" i="59"/>
  <c r="Q17" i="59"/>
  <c r="Q29" i="59"/>
  <c r="Q30" i="59"/>
  <c r="Q4" i="59"/>
  <c r="Q19" i="59"/>
  <c r="Q31" i="59"/>
  <c r="Q3" i="59"/>
  <c r="Q8" i="59"/>
  <c r="Q20" i="59"/>
  <c r="Q32" i="59"/>
  <c r="Q24" i="59"/>
  <c r="Q33" i="59"/>
  <c r="Q22" i="59"/>
  <c r="Q11" i="59"/>
  <c r="Q23" i="59"/>
  <c r="Q253" i="59"/>
  <c r="Q208" i="59"/>
  <c r="Q256" i="59"/>
  <c r="Q183" i="59"/>
  <c r="Q6" i="59"/>
  <c r="Q101" i="59"/>
  <c r="Q111" i="59"/>
  <c r="Q152" i="59"/>
  <c r="Q251" i="59"/>
  <c r="Q207" i="59"/>
  <c r="Q226" i="59"/>
  <c r="Q106" i="59"/>
  <c r="Q5" i="59"/>
  <c r="Q257" i="59"/>
  <c r="Q222" i="59"/>
  <c r="Q250" i="59"/>
  <c r="Q148" i="59"/>
  <c r="J22" i="61" l="1"/>
  <c r="E22" i="61"/>
  <c r="H22" i="61"/>
  <c r="G22" i="61"/>
  <c r="I22" i="61"/>
  <c r="Q104" i="59"/>
  <c r="F22" i="61"/>
  <c r="J32" i="61"/>
  <c r="I32" i="61"/>
  <c r="Q182" i="59"/>
  <c r="E32" i="61"/>
  <c r="H32" i="61"/>
  <c r="F32" i="61"/>
  <c r="G32" i="61"/>
  <c r="E21" i="61"/>
  <c r="Q100" i="59"/>
  <c r="J21" i="61"/>
  <c r="F21" i="61"/>
  <c r="G21" i="61"/>
  <c r="I21" i="61"/>
  <c r="H21" i="61"/>
  <c r="I26" i="61"/>
  <c r="J26" i="61"/>
  <c r="F26" i="61"/>
  <c r="Q141" i="59"/>
  <c r="H26" i="61"/>
  <c r="G26" i="61"/>
  <c r="E26" i="61"/>
  <c r="Q144" i="59"/>
  <c r="Y273" i="59" s="1"/>
  <c r="F27" i="61"/>
  <c r="Q145" i="59"/>
  <c r="E27" i="61"/>
  <c r="G27" i="61"/>
  <c r="I27" i="61"/>
  <c r="H27" i="61"/>
  <c r="J27" i="61"/>
  <c r="Q134" i="59"/>
  <c r="R25" i="61"/>
  <c r="O25" i="61"/>
  <c r="P25" i="61"/>
  <c r="Q25" i="61"/>
  <c r="H28" i="61"/>
  <c r="J28" i="61"/>
  <c r="G28" i="61"/>
  <c r="Q157" i="59"/>
  <c r="F28" i="61"/>
  <c r="I28" i="61"/>
  <c r="E28" i="61"/>
  <c r="I34" i="61"/>
  <c r="F34" i="61"/>
  <c r="G34" i="61"/>
  <c r="J34" i="61"/>
  <c r="H34" i="61"/>
  <c r="E34" i="61"/>
  <c r="Q230" i="59"/>
  <c r="Q10" i="59"/>
  <c r="R8" i="61"/>
  <c r="P8" i="61"/>
  <c r="O8" i="61"/>
  <c r="Q8" i="61"/>
  <c r="O9" i="61"/>
  <c r="R9" i="61"/>
  <c r="Q9" i="61"/>
  <c r="P9" i="61"/>
  <c r="Q21" i="59"/>
  <c r="P24" i="61"/>
  <c r="R24" i="61"/>
  <c r="O24" i="61"/>
  <c r="Q123" i="59"/>
  <c r="Q24" i="61"/>
  <c r="G19" i="61"/>
  <c r="I19" i="61"/>
  <c r="Q88" i="59"/>
  <c r="J19" i="61"/>
  <c r="F19" i="61"/>
  <c r="H19" i="61"/>
  <c r="E19" i="61"/>
  <c r="J36" i="61"/>
  <c r="F36" i="61"/>
  <c r="E36" i="61"/>
  <c r="H36" i="61"/>
  <c r="I36" i="61"/>
  <c r="G36" i="61"/>
  <c r="E33" i="61"/>
  <c r="Q198" i="59"/>
  <c r="H33" i="61"/>
  <c r="F33" i="61"/>
  <c r="I33" i="61"/>
  <c r="J33" i="61"/>
  <c r="G33" i="61"/>
  <c r="G24" i="61"/>
  <c r="E24" i="61"/>
  <c r="Q118" i="59"/>
  <c r="I24" i="61"/>
  <c r="H24" i="61"/>
  <c r="F24" i="61"/>
  <c r="J24" i="61"/>
  <c r="H25" i="61"/>
  <c r="G25" i="61"/>
  <c r="J25" i="61"/>
  <c r="Q126" i="59"/>
  <c r="F25" i="61"/>
  <c r="E25" i="61"/>
  <c r="I25" i="61"/>
  <c r="I7" i="61"/>
  <c r="H7" i="61"/>
  <c r="G7" i="61"/>
  <c r="E7" i="61"/>
  <c r="F7" i="61"/>
  <c r="J7" i="61"/>
  <c r="H18" i="61"/>
  <c r="I18" i="61"/>
  <c r="F18" i="61"/>
  <c r="G18" i="61"/>
  <c r="J18" i="61"/>
  <c r="Q80" i="59"/>
  <c r="E18" i="61"/>
  <c r="E9" i="61"/>
  <c r="J9" i="61"/>
  <c r="I9" i="61"/>
  <c r="G9" i="61"/>
  <c r="Q13" i="59"/>
  <c r="F9" i="61"/>
  <c r="H9" i="61"/>
  <c r="Q28" i="61"/>
  <c r="R28" i="61"/>
  <c r="Q159" i="59"/>
  <c r="O28" i="61"/>
  <c r="P28" i="61"/>
  <c r="J29" i="61"/>
  <c r="G29" i="61"/>
  <c r="I29" i="61"/>
  <c r="E29" i="61"/>
  <c r="F29" i="61"/>
  <c r="Q163" i="59"/>
  <c r="H29" i="61"/>
  <c r="Q239" i="59"/>
  <c r="P34" i="61"/>
  <c r="R34" i="61"/>
  <c r="Q34" i="61"/>
  <c r="O34" i="61"/>
  <c r="Q30" i="61"/>
  <c r="O30" i="61"/>
  <c r="P30" i="61"/>
  <c r="R30" i="61"/>
  <c r="Q173" i="59"/>
  <c r="G16" i="61"/>
  <c r="E16" i="61"/>
  <c r="I16" i="61"/>
  <c r="H16" i="61"/>
  <c r="F16" i="61"/>
  <c r="Q66" i="59"/>
  <c r="J16" i="61"/>
  <c r="Q48" i="59"/>
  <c r="Q14" i="61"/>
  <c r="Q12" i="61" s="1"/>
  <c r="O14" i="61"/>
  <c r="O12" i="61" s="1"/>
  <c r="R14" i="61"/>
  <c r="P14" i="61"/>
  <c r="O35" i="61"/>
  <c r="Q35" i="61"/>
  <c r="Q254" i="59"/>
  <c r="R35" i="61"/>
  <c r="P35" i="61"/>
  <c r="I14" i="61"/>
  <c r="Q45" i="59"/>
  <c r="E14" i="61"/>
  <c r="H14" i="61"/>
  <c r="F14" i="61"/>
  <c r="J14" i="61"/>
  <c r="G14" i="61"/>
  <c r="R33" i="61"/>
  <c r="P33" i="61"/>
  <c r="Q33" i="61"/>
  <c r="O33" i="61"/>
  <c r="Q204" i="59"/>
  <c r="Q74" i="59"/>
  <c r="E17" i="61"/>
  <c r="G17" i="61"/>
  <c r="J17" i="61"/>
  <c r="I17" i="61"/>
  <c r="F17" i="61"/>
  <c r="H17" i="61"/>
  <c r="Q246" i="59"/>
  <c r="I35" i="61"/>
  <c r="J35" i="61"/>
  <c r="E35" i="61"/>
  <c r="H35" i="61"/>
  <c r="F35" i="61"/>
  <c r="G35" i="61"/>
  <c r="Q59" i="59"/>
  <c r="J11" i="61"/>
  <c r="E11" i="61"/>
  <c r="F11" i="61"/>
  <c r="G11" i="61"/>
  <c r="Q34" i="59"/>
  <c r="H11" i="61"/>
  <c r="I11" i="61"/>
  <c r="G15" i="61"/>
  <c r="Q60" i="59"/>
  <c r="E15" i="61"/>
  <c r="F15" i="61"/>
  <c r="H15" i="61"/>
  <c r="I15" i="61"/>
  <c r="J15" i="61"/>
  <c r="O17" i="61"/>
  <c r="Q17" i="61"/>
  <c r="Q77" i="59"/>
  <c r="P17" i="61"/>
  <c r="R17" i="61"/>
  <c r="P32" i="61"/>
  <c r="Q32" i="61"/>
  <c r="R32" i="61"/>
  <c r="O32" i="61"/>
  <c r="Q188" i="59"/>
  <c r="Q7" i="59"/>
  <c r="G23" i="61"/>
  <c r="E23" i="61"/>
  <c r="F23" i="61"/>
  <c r="Q114" i="59"/>
  <c r="J23" i="61"/>
  <c r="H23" i="61"/>
  <c r="I23" i="61"/>
  <c r="G13" i="61"/>
  <c r="J13" i="61"/>
  <c r="I13" i="61"/>
  <c r="Q36" i="59"/>
  <c r="F13" i="61"/>
  <c r="E13" i="61"/>
  <c r="H13" i="61"/>
  <c r="G30" i="61"/>
  <c r="H30" i="61"/>
  <c r="J30" i="61"/>
  <c r="F30" i="61"/>
  <c r="Q167" i="59"/>
  <c r="I30" i="61"/>
  <c r="Q18" i="59"/>
  <c r="Q113" i="59"/>
  <c r="O22" i="61"/>
  <c r="P22" i="61"/>
  <c r="Q22" i="61"/>
  <c r="R22" i="61"/>
  <c r="G8" i="61"/>
  <c r="E8" i="61"/>
  <c r="J8" i="61"/>
  <c r="F8" i="61"/>
  <c r="I8" i="61"/>
  <c r="Q9" i="59"/>
  <c r="H8" i="61"/>
  <c r="Q180" i="59"/>
  <c r="Q31" i="61"/>
  <c r="R31" i="61"/>
  <c r="O31" i="61"/>
  <c r="P31" i="61"/>
  <c r="F31" i="61"/>
  <c r="H31" i="61"/>
  <c r="G31" i="61"/>
  <c r="Q177" i="59"/>
  <c r="I31" i="61"/>
  <c r="J31" i="61"/>
  <c r="E31" i="61"/>
  <c r="L28" i="61" l="1"/>
  <c r="L35" i="61"/>
  <c r="L29" i="61"/>
  <c r="L32" i="61"/>
  <c r="L22" i="61"/>
  <c r="L31" i="61"/>
  <c r="L34" i="61"/>
  <c r="L33" i="61"/>
  <c r="L30" i="61"/>
  <c r="L27" i="61"/>
  <c r="L26" i="61"/>
  <c r="L25" i="61"/>
  <c r="L23" i="61"/>
  <c r="L24" i="61"/>
  <c r="L21" i="61"/>
  <c r="L19" i="61"/>
  <c r="L18" i="61"/>
  <c r="L17" i="61"/>
  <c r="L16" i="61"/>
  <c r="L15" i="61"/>
  <c r="L13" i="61"/>
  <c r="L14" i="61"/>
  <c r="L11" i="61"/>
  <c r="L9" i="61"/>
  <c r="L8" i="61"/>
  <c r="L7" i="61"/>
  <c r="K22" i="61"/>
  <c r="K34" i="61"/>
  <c r="K14" i="61"/>
  <c r="K24" i="61"/>
  <c r="K26" i="61"/>
  <c r="K28" i="61"/>
  <c r="K13" i="61"/>
  <c r="K15" i="61"/>
  <c r="K35" i="61"/>
  <c r="K16" i="61"/>
  <c r="K36" i="61"/>
  <c r="M36" i="61" s="1"/>
  <c r="K25" i="61"/>
  <c r="K27" i="61"/>
  <c r="K21" i="61"/>
  <c r="K8" i="61"/>
  <c r="K30" i="61"/>
  <c r="K18" i="61"/>
  <c r="K9" i="61"/>
  <c r="K33" i="61"/>
  <c r="K19" i="61"/>
  <c r="K23" i="61"/>
  <c r="K29" i="61"/>
  <c r="K31" i="61"/>
  <c r="K11" i="61"/>
  <c r="K17" i="61"/>
  <c r="K7" i="61"/>
  <c r="K32" i="61"/>
  <c r="S25" i="61"/>
  <c r="S33" i="61"/>
  <c r="S22" i="61"/>
  <c r="S9" i="61"/>
  <c r="S31" i="61"/>
  <c r="S28" i="61"/>
  <c r="S8" i="61"/>
  <c r="S32" i="61"/>
  <c r="S34" i="61"/>
  <c r="S24" i="61"/>
  <c r="S35" i="61"/>
  <c r="S17" i="61"/>
  <c r="S14" i="61"/>
  <c r="S30" i="61"/>
  <c r="P12" i="61"/>
  <c r="T273" i="59"/>
  <c r="X273" i="59"/>
  <c r="W273" i="59"/>
  <c r="V273" i="59"/>
  <c r="U273" i="59"/>
  <c r="E12" i="61"/>
  <c r="J12" i="61"/>
  <c r="E6" i="61"/>
  <c r="F12" i="61"/>
  <c r="H6" i="61"/>
  <c r="O6" i="61"/>
  <c r="I6" i="61"/>
  <c r="P6" i="61"/>
  <c r="R6" i="61"/>
  <c r="H20" i="61"/>
  <c r="Q20" i="61"/>
  <c r="Q10" i="61" s="1"/>
  <c r="I20" i="61"/>
  <c r="P20" i="61"/>
  <c r="H12" i="61"/>
  <c r="G20" i="61"/>
  <c r="R20" i="61"/>
  <c r="O20" i="61"/>
  <c r="O10" i="61" s="1"/>
  <c r="F20" i="61"/>
  <c r="J20" i="61"/>
  <c r="R12" i="61"/>
  <c r="S12" i="61" s="1"/>
  <c r="J6" i="61"/>
  <c r="I12" i="61"/>
  <c r="F6" i="61"/>
  <c r="E20" i="61"/>
  <c r="G12" i="61"/>
  <c r="G6" i="61"/>
  <c r="Q6" i="61"/>
  <c r="L20" i="61" l="1"/>
  <c r="L12" i="61"/>
  <c r="L6" i="61"/>
  <c r="K6" i="61"/>
  <c r="K20" i="61"/>
  <c r="K12" i="61"/>
  <c r="S6" i="61"/>
  <c r="S20" i="61"/>
  <c r="P10" i="61"/>
  <c r="J10" i="61"/>
  <c r="H10" i="61"/>
  <c r="H37" i="61" s="1"/>
  <c r="F10" i="61"/>
  <c r="E10" i="61"/>
  <c r="G10" i="61"/>
  <c r="G37" i="61" s="1"/>
  <c r="I10" i="61"/>
  <c r="R10" i="61"/>
  <c r="S10" i="61" s="1"/>
  <c r="T36" i="61"/>
  <c r="L10" i="61" l="1"/>
  <c r="K37" i="61"/>
  <c r="M37" i="61" s="1"/>
  <c r="I37" i="61"/>
  <c r="J37" i="61"/>
  <c r="K10" i="61"/>
  <c r="S37" i="61"/>
  <c r="F37" i="61"/>
  <c r="T8" i="61"/>
  <c r="AI38" i="61" l="1"/>
  <c r="AK65" i="61" s="1"/>
  <c r="AK63" i="61" l="1"/>
  <c r="AJ37" i="61"/>
  <c r="AK75" i="61"/>
  <c r="AJ39" i="61"/>
  <c r="AK66" i="61"/>
  <c r="AK69" i="61"/>
  <c r="AJ38" i="61"/>
  <c r="AK70" i="61"/>
  <c r="AK73" i="61"/>
  <c r="AI39" i="61"/>
  <c r="AK95" i="61" s="1"/>
  <c r="AK72" i="61"/>
  <c r="AK76" i="61"/>
  <c r="AK67" i="61"/>
  <c r="AK64" i="61"/>
  <c r="AK74" i="61"/>
  <c r="AK71" i="61"/>
  <c r="AK61" i="61"/>
  <c r="AI37" i="61"/>
  <c r="AK51" i="61" s="1"/>
  <c r="AK59" i="61"/>
  <c r="AK62" i="61"/>
  <c r="AK68" i="61"/>
  <c r="AK60" i="61"/>
  <c r="AK57" i="61"/>
  <c r="AK58" i="61"/>
  <c r="AI36" i="61"/>
  <c r="AK47" i="61" l="1"/>
  <c r="AK53" i="61"/>
  <c r="AK40" i="61"/>
  <c r="AK42" i="61"/>
  <c r="AK39" i="61"/>
  <c r="AK37" i="61"/>
  <c r="AK41" i="61"/>
  <c r="AK56" i="61"/>
  <c r="AK46" i="61"/>
  <c r="AK44" i="61"/>
  <c r="AK49" i="61"/>
  <c r="AK86" i="61"/>
  <c r="AK50" i="61"/>
  <c r="AK85" i="61"/>
  <c r="AK43" i="61"/>
  <c r="AK81" i="61"/>
  <c r="AK52" i="61"/>
  <c r="AK84" i="61"/>
  <c r="AK48" i="61"/>
  <c r="AK90" i="61"/>
  <c r="AK93" i="61"/>
  <c r="AK83" i="61"/>
  <c r="AK94" i="61"/>
  <c r="AK96" i="61"/>
  <c r="AK80" i="61"/>
  <c r="AK82" i="61"/>
  <c r="AK87" i="61"/>
  <c r="AK77" i="61"/>
  <c r="AK91" i="61"/>
  <c r="AK78" i="61"/>
  <c r="AK54" i="61"/>
  <c r="AK55" i="61"/>
  <c r="AK89" i="61"/>
  <c r="AK92" i="61"/>
  <c r="AK38" i="61"/>
  <c r="AK45" i="61"/>
  <c r="AK88" i="61"/>
  <c r="AK79" i="61"/>
  <c r="M15" i="61" l="1"/>
  <c r="M32" i="61" l="1"/>
  <c r="M26" i="61"/>
  <c r="M23" i="61"/>
  <c r="M34" i="61"/>
  <c r="M35" i="61"/>
  <c r="M29" i="61"/>
  <c r="M18" i="61"/>
  <c r="M28" i="61"/>
  <c r="M13" i="61"/>
  <c r="M12" i="61"/>
  <c r="M31" i="61"/>
  <c r="M11" i="61"/>
  <c r="M10" i="61"/>
  <c r="M33" i="61"/>
  <c r="M25" i="61"/>
  <c r="M17" i="61"/>
  <c r="M24" i="61"/>
  <c r="M30" i="61"/>
  <c r="M14" i="61"/>
  <c r="M19" i="61"/>
  <c r="M16" i="61"/>
  <c r="M9" i="61"/>
  <c r="M8" i="61"/>
  <c r="M7" i="61"/>
  <c r="M6" i="61"/>
  <c r="M21" i="61"/>
  <c r="M20" i="61"/>
  <c r="M27" i="61"/>
  <c r="M22" i="61"/>
  <c r="J12" i="59" a="1"/>
  <c r="H30" i="59" a="1"/>
  <c r="J197" i="59" a="1"/>
  <c r="G143" i="59" a="1"/>
  <c r="M261" i="59" a="1"/>
  <c r="M221" i="59" a="1"/>
  <c r="K81" i="59" a="1"/>
  <c r="N153" i="59" a="1"/>
  <c r="I226" i="59" a="1"/>
  <c r="H190" i="59" a="1"/>
  <c r="I17" i="59" a="1"/>
  <c r="M190" i="59" a="1"/>
  <c r="L152" i="59" a="1"/>
  <c r="N84" i="59" a="1"/>
  <c r="K48" i="59" a="1"/>
  <c r="L69" i="59" a="1"/>
  <c r="M161" i="59" a="1"/>
  <c r="M250" i="59" a="1"/>
  <c r="L218" i="59" a="1"/>
  <c r="K55" i="59" a="1"/>
  <c r="H210" i="59" a="1"/>
  <c r="G173" i="59" a="1"/>
  <c r="I26" i="59" a="1"/>
  <c r="I157" i="59" a="1"/>
  <c r="J196" i="59" a="1"/>
  <c r="I216" i="59" a="1"/>
  <c r="J47" i="59" a="1"/>
  <c r="I59" i="59" a="1"/>
  <c r="J54" i="59" a="1"/>
  <c r="N40" i="59" a="1"/>
  <c r="M167" i="59" a="1"/>
  <c r="N62" i="59" a="1"/>
  <c r="J89" i="59" a="1"/>
  <c r="H44" i="59" a="1"/>
  <c r="I239" i="59" a="1"/>
  <c r="K154" i="59" a="1"/>
  <c r="H242" i="59" a="1"/>
  <c r="I36" i="59" a="1"/>
  <c r="G210" i="59" a="1"/>
  <c r="J263" i="59" a="1"/>
  <c r="I156" i="59" a="1"/>
  <c r="I164" i="59" a="1"/>
  <c r="I87" i="59" a="1"/>
  <c r="J103" i="59" a="1"/>
  <c r="K261" i="59" a="1"/>
  <c r="K177" i="59" a="1"/>
  <c r="K271" i="59" a="1"/>
  <c r="H183" i="59" a="1"/>
  <c r="K51" i="59" a="1"/>
  <c r="I148" i="59" a="1"/>
  <c r="J101" i="59" a="1"/>
  <c r="N236" i="59" a="1"/>
  <c r="H42" i="59" a="1"/>
  <c r="N242" i="59" a="1"/>
  <c r="M187" i="59" a="1"/>
  <c r="H25" i="59" a="1"/>
  <c r="K41" i="59" a="1"/>
  <c r="N246" i="59" a="1"/>
  <c r="K171" i="59" a="1"/>
  <c r="G197" i="59" a="1"/>
  <c r="N93" i="59" a="1"/>
  <c r="G115" i="59" a="1"/>
  <c r="N126" i="59" a="1"/>
  <c r="N79" i="59" a="1"/>
  <c r="M143" i="59" a="1"/>
  <c r="H106" i="59" a="1"/>
  <c r="K200" i="59" a="1"/>
  <c r="H259" i="59" a="1"/>
  <c r="N27" i="59" a="1"/>
  <c r="L180" i="59" a="1"/>
  <c r="K60" i="59" a="1"/>
  <c r="M101" i="59" a="1"/>
  <c r="N252" i="59" a="1"/>
  <c r="L165" i="59" a="1"/>
  <c r="K248" i="59" a="1"/>
  <c r="J155" i="59" a="1"/>
  <c r="H119" i="59" a="1"/>
  <c r="L211" i="59" a="1"/>
  <c r="L212" i="59" a="1"/>
  <c r="K88" i="59" a="1"/>
  <c r="G198" i="59" a="1"/>
  <c r="K29" i="59" a="1"/>
  <c r="L235" i="59" a="1"/>
  <c r="G147" i="59" a="1"/>
  <c r="M232" i="59" a="1"/>
  <c r="G58" i="59" a="1"/>
  <c r="N147" i="59" a="1"/>
  <c r="H253" i="59" a="1"/>
  <c r="K46" i="59" a="1"/>
  <c r="H36" i="59" a="1"/>
  <c r="J27" i="59" a="1"/>
  <c r="H168" i="59" a="1"/>
  <c r="I262" i="59" a="1"/>
  <c r="M152" i="59" a="1"/>
  <c r="N201" i="59" a="1"/>
  <c r="M37" i="59" a="1"/>
  <c r="I209" i="59" a="1"/>
  <c r="I252" i="59" a="1"/>
  <c r="K47" i="59" a="1"/>
  <c r="H27" i="59" a="1"/>
  <c r="G47" i="59" a="1"/>
  <c r="J176" i="59" a="1"/>
  <c r="I144" i="59" a="1"/>
  <c r="L170" i="59" a="1"/>
  <c r="K199" i="59" a="1"/>
  <c r="J4" i="59" a="1"/>
  <c r="K7" i="59" a="1"/>
  <c r="G50" i="59" a="1"/>
  <c r="N220" i="59" a="1"/>
  <c r="H102" i="59" a="1"/>
  <c r="K217" i="59" a="1"/>
  <c r="H77" i="59" a="1"/>
  <c r="K244" i="59" a="1"/>
  <c r="I152" i="59" a="1"/>
  <c r="G110" i="59" a="1"/>
  <c r="L182" i="59" a="1"/>
  <c r="H203" i="59" a="1"/>
  <c r="M155" i="59" a="1"/>
  <c r="I118" i="59" a="1"/>
  <c r="G130" i="59" a="1"/>
  <c r="K10" i="59" a="1"/>
  <c r="I173" i="59" a="1"/>
  <c r="N234" i="59" a="1"/>
  <c r="M233" i="59" a="1"/>
  <c r="J76" i="59" a="1"/>
  <c r="M69" i="59" a="1"/>
  <c r="H133" i="59" a="1"/>
  <c r="K141" i="59" a="1"/>
  <c r="I168" i="59" a="1"/>
  <c r="I149" i="59" a="1"/>
  <c r="L232" i="59" a="1"/>
  <c r="N254" i="59" a="1"/>
  <c r="G225" i="59" a="1"/>
  <c r="K216" i="59" a="1"/>
  <c r="H241" i="59" a="1"/>
  <c r="L272" i="59" a="1"/>
  <c r="K229" i="59" a="1"/>
  <c r="K19" i="59" a="1"/>
  <c r="K162" i="59" a="1"/>
  <c r="H107" i="59" a="1"/>
  <c r="G34" i="59" a="1"/>
  <c r="N25" i="59" a="1"/>
  <c r="M43" i="59" a="1"/>
  <c r="N123" i="59" a="1"/>
  <c r="K245" i="59" a="1"/>
  <c r="H160" i="59" a="1"/>
  <c r="H265" i="59" a="1"/>
  <c r="H149" i="59" a="1"/>
  <c r="H198" i="59" a="1"/>
  <c r="J95" i="59" a="1"/>
  <c r="K167" i="59" a="1"/>
  <c r="N121" i="59" a="1"/>
  <c r="L246" i="59" a="1"/>
  <c r="H53" i="59" a="1"/>
  <c r="N156" i="59" a="1"/>
  <c r="I146" i="59" a="1"/>
  <c r="L61" i="59" a="1"/>
  <c r="I195" i="59" a="1"/>
  <c r="L127" i="59" a="1"/>
  <c r="J25" i="59" a="1"/>
  <c r="J117" i="59" a="1"/>
  <c r="K270" i="59" a="1"/>
  <c r="M80" i="59" a="1"/>
  <c r="M229" i="59" a="1"/>
  <c r="I186" i="59" a="1"/>
  <c r="K187" i="59" a="1"/>
  <c r="K183" i="59" a="1"/>
  <c r="N7" i="59" a="1"/>
  <c r="G5" i="59" a="1"/>
  <c r="N137" i="59" a="1"/>
  <c r="J80" i="59" a="1"/>
  <c r="M67" i="59" a="1"/>
  <c r="J9" i="59" a="1"/>
  <c r="K225" i="59" a="1"/>
  <c r="J184" i="59" a="1"/>
  <c r="G179" i="59" a="1"/>
  <c r="J204" i="59" a="1"/>
  <c r="G44" i="59" a="1"/>
  <c r="J39" i="59" a="1"/>
  <c r="G137" i="59" a="1"/>
  <c r="H227" i="59" a="1"/>
  <c r="J214" i="59" a="1"/>
  <c r="N264" i="59" a="1"/>
  <c r="J121" i="59" a="1"/>
  <c r="L77" i="59" a="1"/>
  <c r="J48" i="59" a="1"/>
  <c r="N171" i="59" a="1"/>
  <c r="I234" i="59" a="1"/>
  <c r="L109" i="59" a="1"/>
  <c r="J131" i="59" a="1"/>
  <c r="J137" i="59" a="1"/>
  <c r="M62" i="59" a="1"/>
  <c r="J51" i="59" a="1"/>
  <c r="H111" i="59" a="1"/>
  <c r="K50" i="59" a="1"/>
  <c r="K3" i="59" a="1"/>
  <c r="I207" i="59" a="1"/>
  <c r="I32" i="59" a="1"/>
  <c r="H229" i="59" a="1"/>
  <c r="J94" i="59" a="1"/>
  <c r="L2" i="59" a="1"/>
  <c r="L35" i="59" a="1"/>
  <c r="L48" i="59" a="1"/>
  <c r="G163" i="59" a="1"/>
  <c r="G268" i="59" a="1"/>
  <c r="M77" i="59" a="1"/>
  <c r="H90" i="59" a="1"/>
  <c r="I27" i="59" a="1"/>
  <c r="K83" i="59" a="1"/>
  <c r="I211" i="59" a="1"/>
  <c r="J118" i="59" a="1"/>
  <c r="K168" i="59" a="1"/>
  <c r="G146" i="59" a="1"/>
  <c r="N120" i="59" a="1"/>
  <c r="I12" i="59" a="1"/>
  <c r="L50" i="59" a="1"/>
  <c r="M121" i="59" a="1"/>
  <c r="G175" i="59" a="1"/>
  <c r="H205" i="59" a="1"/>
  <c r="I74" i="59" a="1"/>
  <c r="K52" i="59" a="1"/>
  <c r="H10" i="59" a="1"/>
  <c r="I160" i="59" a="1"/>
  <c r="M177" i="59" a="1"/>
  <c r="M176" i="59" a="1"/>
  <c r="I161" i="59" a="1"/>
  <c r="I9" i="59" a="1"/>
  <c r="G219" i="59" a="1"/>
  <c r="G192" i="59" a="1"/>
  <c r="H63" i="59" a="1"/>
  <c r="K196" i="59" a="1"/>
  <c r="H247" i="59" a="1"/>
  <c r="K148" i="59" a="1"/>
  <c r="G128" i="59" a="1"/>
  <c r="L33" i="59" a="1"/>
  <c r="G97" i="59" a="1"/>
  <c r="H82" i="59" a="1"/>
  <c r="K242" i="59" a="1"/>
  <c r="L122" i="59" a="1"/>
  <c r="H117" i="59" a="1"/>
  <c r="J261" i="59" a="1"/>
  <c r="L171" i="59" a="1"/>
  <c r="K134" i="59" a="1"/>
  <c r="H54" i="59" a="1"/>
  <c r="M110" i="59" a="1"/>
  <c r="N178" i="59" a="1"/>
  <c r="H230" i="59" a="1"/>
  <c r="J142" i="59" a="1"/>
  <c r="J113" i="59" a="1"/>
  <c r="J21" i="59" a="1"/>
  <c r="L194" i="59" a="1"/>
  <c r="J56" i="59" a="1"/>
  <c r="J102" i="59" a="1"/>
  <c r="J175" i="59" a="1"/>
  <c r="I177" i="59" a="1"/>
  <c r="M90" i="59" a="1"/>
  <c r="H34" i="59" a="1"/>
  <c r="M78" i="59" a="1"/>
  <c r="H48" i="59" a="1"/>
  <c r="L190" i="59" a="1"/>
  <c r="J266" i="59" a="1"/>
  <c r="M97" i="59" a="1"/>
  <c r="K2" i="59" a="1"/>
  <c r="I119" i="59" a="1"/>
  <c r="I137" i="59" a="1"/>
  <c r="I19" i="59" a="1"/>
  <c r="I125" i="59" a="1"/>
  <c r="N228" i="59" a="1"/>
  <c r="N165" i="59" a="1"/>
  <c r="L7" i="59" a="1"/>
  <c r="M98" i="59" a="1"/>
  <c r="N47" i="59" a="1"/>
  <c r="I33" i="59" a="1"/>
  <c r="I151" i="59" a="1"/>
  <c r="G31" i="59" a="1"/>
  <c r="I159" i="59" a="1"/>
  <c r="L107" i="59" a="1"/>
  <c r="G144" i="59" a="1"/>
  <c r="M25" i="59" a="1"/>
  <c r="G6" i="59" a="1"/>
  <c r="M166" i="59" a="1"/>
  <c r="K95" i="59" a="1"/>
  <c r="J145" i="59" a="1"/>
  <c r="H28" i="59" a="1"/>
  <c r="M8" i="59" a="1"/>
  <c r="J166" i="59" a="1"/>
  <c r="M230" i="59" a="1"/>
  <c r="H225" i="59" a="1"/>
  <c r="G184" i="59" a="1"/>
  <c r="G27" i="59" a="1"/>
  <c r="K34" i="59" a="1"/>
  <c r="H199" i="59" a="1"/>
  <c r="N177" i="59" a="1"/>
  <c r="I29" i="59" a="1"/>
  <c r="L23" i="59" a="1"/>
  <c r="J62" i="59" a="1"/>
  <c r="L270" i="59" a="1"/>
  <c r="J189" i="59" a="1"/>
  <c r="J153" i="59" a="1"/>
  <c r="L195" i="59" a="1"/>
  <c r="J92" i="59" a="1"/>
  <c r="M146" i="59" a="1"/>
  <c r="J154" i="59" a="1"/>
  <c r="I141" i="59" a="1"/>
  <c r="L46" i="59" a="1"/>
  <c r="G68" i="59" a="1"/>
  <c r="L123" i="59" a="1"/>
  <c r="N66" i="59" a="1"/>
  <c r="G121" i="59" a="1"/>
  <c r="K127" i="59" a="1"/>
  <c r="M188" i="59" a="1"/>
  <c r="N38" i="59" a="1"/>
  <c r="N71" i="59" a="1"/>
  <c r="J212" i="59" a="1"/>
  <c r="I251" i="59" a="1"/>
  <c r="H218" i="59" a="1"/>
  <c r="J99" i="59" a="1"/>
  <c r="L259" i="59" a="1"/>
  <c r="M16" i="59" a="1"/>
  <c r="J215" i="59" a="1"/>
  <c r="K64" i="59" a="1"/>
  <c r="H88" i="59" a="1"/>
  <c r="M131" i="59" a="1"/>
  <c r="L17" i="59" a="1"/>
  <c r="N28" i="59" a="1"/>
  <c r="K264" i="59" a="1"/>
  <c r="K86" i="59" a="1"/>
  <c r="G39" i="59" a="1"/>
  <c r="J70" i="59" a="1"/>
  <c r="G76" i="59" a="1"/>
  <c r="L240" i="59" a="1"/>
  <c r="L163" i="59" a="1"/>
  <c r="L128" i="59" a="1"/>
  <c r="H39" i="59" a="1"/>
  <c r="N268" i="59" a="1"/>
  <c r="H208" i="59" a="1"/>
  <c r="L74" i="59" a="1"/>
  <c r="L205" i="59" a="1"/>
  <c r="J158" i="59" a="1"/>
  <c r="K61" i="59" a="1"/>
  <c r="I38" i="59" a="1"/>
  <c r="I172" i="59" a="1"/>
  <c r="H196" i="59" a="1"/>
  <c r="J199" i="59" a="1"/>
  <c r="G266" i="59" a="1"/>
  <c r="N44" i="59" a="1"/>
  <c r="L184" i="59" a="1"/>
  <c r="M83" i="59" a="1"/>
  <c r="L199" i="59" a="1"/>
  <c r="J38" i="59" a="1"/>
  <c r="I259" i="59" a="1"/>
  <c r="N191" i="59" a="1"/>
  <c r="I83" i="59" a="1"/>
  <c r="L255" i="59" a="1"/>
  <c r="L214" i="59" a="1"/>
  <c r="M38" i="59" a="1"/>
  <c r="L71" i="59" a="1"/>
  <c r="J83" i="59" a="1"/>
  <c r="G120" i="59" a="1"/>
  <c r="I18" i="59" a="1"/>
  <c r="J187" i="59" a="1"/>
  <c r="K87" i="59" a="1"/>
  <c r="K218" i="59" a="1"/>
  <c r="I75" i="59" a="1"/>
  <c r="N122" i="59" a="1"/>
  <c r="H206" i="59" a="1"/>
  <c r="K91" i="59" a="1"/>
  <c r="M249" i="59" a="1"/>
  <c r="N222" i="59" a="1"/>
  <c r="M163" i="59" a="1"/>
  <c r="K12" i="59" a="1"/>
  <c r="M19" i="59" a="1"/>
  <c r="H175" i="59" a="1"/>
  <c r="L121" i="59" a="1"/>
  <c r="H243" i="59" a="1"/>
  <c r="I84" i="59" a="1"/>
  <c r="J120" i="59" a="1"/>
  <c r="H35" i="59" a="1"/>
  <c r="I126" i="59" a="1"/>
  <c r="J167" i="59" a="1"/>
  <c r="I204" i="59" a="1"/>
  <c r="N69" i="59" a="1"/>
  <c r="M209" i="59" a="1"/>
  <c r="J15" i="59" a="1"/>
  <c r="M189" i="59" a="1"/>
  <c r="K138" i="59" a="1"/>
  <c r="I14" i="59" a="1"/>
  <c r="K263" i="59" a="1"/>
  <c r="N221" i="59" a="1"/>
  <c r="J240" i="59" a="1"/>
  <c r="H12" i="59" a="1"/>
  <c r="N6" i="59" a="1"/>
  <c r="G189" i="59" a="1"/>
  <c r="K149" i="59" a="1"/>
  <c r="H187" i="59" a="1"/>
  <c r="K72" i="59" a="1"/>
  <c r="J141" i="59" a="1"/>
  <c r="J24" i="59" a="1"/>
  <c r="I248" i="59" a="1"/>
  <c r="M215" i="59" a="1"/>
  <c r="M13" i="59" a="1"/>
  <c r="K203" i="59" a="1"/>
  <c r="K233" i="59" a="1"/>
  <c r="I122" i="59" a="1"/>
  <c r="J109" i="59" a="1"/>
  <c r="J79" i="59" a="1"/>
  <c r="N89" i="59" a="1"/>
  <c r="J108" i="59" a="1"/>
  <c r="M95" i="59" a="1"/>
  <c r="M15" i="59" a="1"/>
  <c r="H40" i="59" a="1"/>
  <c r="M173" i="59" a="1"/>
  <c r="N260" i="59" a="1"/>
  <c r="J96" i="59" a="1"/>
  <c r="N45" i="59" a="1"/>
  <c r="L58" i="59" a="1"/>
  <c r="M115" i="59" a="1"/>
  <c r="N212" i="59" a="1"/>
  <c r="N148" i="59" a="1"/>
  <c r="L133" i="59" a="1"/>
  <c r="K8" i="59" a="1"/>
  <c r="J243" i="59" a="1"/>
  <c r="I212" i="59" a="1"/>
  <c r="K221" i="59" a="1"/>
  <c r="I225" i="59" a="1"/>
  <c r="J195" i="59" a="1"/>
  <c r="H221" i="59" a="1"/>
  <c r="L254" i="59" a="1"/>
  <c r="J49" i="59" a="1"/>
  <c r="K78" i="59" a="1"/>
  <c r="I22" i="59" a="1"/>
  <c r="J133" i="59" a="1"/>
  <c r="I44" i="59" a="1"/>
  <c r="H236" i="59" a="1"/>
  <c r="L52" i="59" a="1"/>
  <c r="L193" i="59" a="1"/>
  <c r="H3" i="59" a="1"/>
  <c r="K122" i="59" a="1"/>
  <c r="H266" i="59" a="1"/>
  <c r="G177" i="59" a="1"/>
  <c r="L196" i="59" a="1"/>
  <c r="M10" i="59" a="1"/>
  <c r="I51" i="59" a="1"/>
  <c r="I230" i="59" a="1"/>
  <c r="K272" i="59" a="1"/>
  <c r="I42" i="59" a="1"/>
  <c r="J205" i="59" a="1"/>
  <c r="H137" i="59" a="1"/>
  <c r="J22" i="59" a="1"/>
  <c r="K40" i="59" a="1"/>
  <c r="N118" i="59" a="1"/>
  <c r="H50" i="59" a="1"/>
  <c r="L9" i="59" a="1"/>
  <c r="J2" i="59" a="1"/>
  <c r="I267" i="59" a="1"/>
  <c r="K192" i="59" a="1"/>
  <c r="N270" i="59" a="1"/>
  <c r="K126" i="59" a="1"/>
  <c r="N43" i="59" a="1"/>
  <c r="N180" i="59" a="1"/>
  <c r="J75" i="59" a="1"/>
  <c r="G75" i="59" a="1"/>
  <c r="K14" i="59" a="1"/>
  <c r="I242" i="59" a="1"/>
  <c r="K37" i="59" a="1"/>
  <c r="I171" i="59" a="1"/>
  <c r="M218" i="59" a="1"/>
  <c r="M256" i="59" a="1"/>
  <c r="N233" i="59" a="1"/>
  <c r="J122" i="59" a="1"/>
  <c r="G227" i="59" a="1"/>
  <c r="L64" i="59" a="1"/>
  <c r="J111" i="59" a="1"/>
  <c r="I249" i="59" a="1"/>
  <c r="G93" i="59" a="1"/>
  <c r="N101" i="59" a="1"/>
  <c r="G108" i="59" a="1"/>
  <c r="H11" i="59" a="1"/>
  <c r="H147" i="59" a="1"/>
  <c r="G221" i="59" a="1"/>
  <c r="I98" i="59" a="1"/>
  <c r="L26" i="59" a="1"/>
  <c r="K179" i="59" a="1"/>
  <c r="I189" i="59" a="1"/>
  <c r="I145" i="59" a="1"/>
  <c r="L253" i="59" a="1"/>
  <c r="K143" i="59" a="1"/>
  <c r="M265" i="59" a="1"/>
  <c r="I70" i="59" a="1"/>
  <c r="M11" i="59" a="1"/>
  <c r="J98" i="59" a="1"/>
  <c r="G114" i="59" a="1"/>
  <c r="N3" i="59" a="1"/>
  <c r="L94" i="59" a="1"/>
  <c r="M2" i="59" a="1"/>
  <c r="N194" i="59" a="1"/>
  <c r="J242" i="59" a="1"/>
  <c r="L159" i="59" a="1"/>
  <c r="I235" i="59" a="1"/>
  <c r="M53" i="59" a="1"/>
  <c r="N132" i="59" a="1"/>
  <c r="J97" i="59" a="1"/>
  <c r="G112" i="59" a="1"/>
  <c r="I63" i="59" a="1"/>
  <c r="H141" i="59" a="1"/>
  <c r="I56" i="59" a="1"/>
  <c r="G55" i="59" a="1"/>
  <c r="K185" i="59" a="1"/>
  <c r="K219" i="59" a="1"/>
  <c r="K214" i="59" a="1"/>
  <c r="G72" i="59" a="1"/>
  <c r="L179" i="59" a="1"/>
  <c r="G211" i="59" a="1"/>
  <c r="H264" i="59" a="1"/>
  <c r="G33" i="59" a="1"/>
  <c r="J19" i="59" a="1"/>
  <c r="K238" i="59" a="1"/>
  <c r="H29" i="59" a="1"/>
  <c r="L57" i="59" a="1"/>
  <c r="N12" i="59" a="1"/>
  <c r="M107" i="59" a="1"/>
  <c r="L223" i="59" a="1"/>
  <c r="K188" i="59" a="1"/>
  <c r="K258" i="59" a="1"/>
  <c r="L189" i="59" a="1"/>
  <c r="N97" i="59" a="1"/>
  <c r="K243" i="59" a="1"/>
  <c r="J28" i="59" a="1"/>
  <c r="M270" i="59" a="1"/>
  <c r="M93" i="59" a="1"/>
  <c r="J168" i="59" a="1"/>
  <c r="G105" i="59" a="1"/>
  <c r="H270" i="59" a="1"/>
  <c r="J57" i="59" a="1"/>
  <c r="N149" i="59" a="1"/>
  <c r="J74" i="59" a="1"/>
  <c r="J244" i="59" a="1"/>
  <c r="I94" i="59" a="1"/>
  <c r="N215" i="59" a="1"/>
  <c r="H204" i="59" a="1"/>
  <c r="K66" i="59" a="1"/>
  <c r="L89" i="59" a="1"/>
  <c r="M222" i="59" a="1"/>
  <c r="G182" i="59" a="1"/>
  <c r="J7" i="59" a="1"/>
  <c r="K202" i="59" a="1"/>
  <c r="N182" i="59" a="1"/>
  <c r="M183" i="59" a="1"/>
  <c r="H81" i="59" a="1"/>
  <c r="I85" i="59" a="1"/>
  <c r="G209" i="59" a="1"/>
  <c r="N224" i="59" a="1"/>
  <c r="M57" i="59" a="1"/>
  <c r="H207" i="59" a="1"/>
  <c r="G99" i="59" a="1"/>
  <c r="N218" i="59" a="1"/>
  <c r="G270" i="59" a="1"/>
  <c r="L72" i="59" a="1"/>
  <c r="J177" i="59" a="1"/>
  <c r="L34" i="59" a="1"/>
  <c r="J136" i="59" a="1"/>
  <c r="M82" i="59" a="1"/>
  <c r="K136" i="59" a="1"/>
  <c r="I241" i="59" a="1"/>
  <c r="H223" i="59" a="1"/>
  <c r="L142" i="59" a="1"/>
  <c r="N104" i="59" a="1"/>
  <c r="I103" i="59" a="1"/>
  <c r="J200" i="59" a="1"/>
  <c r="M205" i="59" a="1"/>
  <c r="L117" i="59" a="1"/>
  <c r="G230" i="59" a="1"/>
  <c r="M108" i="59" a="1"/>
  <c r="N96" i="59" a="1"/>
  <c r="I34" i="59" a="1"/>
  <c r="J169" i="59" a="1"/>
  <c r="N5" i="59" a="1"/>
  <c r="K235" i="59" a="1"/>
  <c r="I188" i="59" a="1"/>
  <c r="K210" i="59" a="1"/>
  <c r="L200" i="59" a="1"/>
  <c r="M123" i="59" a="1"/>
  <c r="N225" i="59" a="1"/>
  <c r="I270" i="59" a="1"/>
  <c r="G63" i="59" a="1"/>
  <c r="L99" i="59" a="1"/>
  <c r="I246" i="59" a="1"/>
  <c r="K253" i="59" a="1"/>
  <c r="I178" i="59" a="1"/>
  <c r="H177" i="59" a="1"/>
  <c r="N11" i="59" a="1"/>
  <c r="L21" i="59" a="1"/>
  <c r="J126" i="59" a="1"/>
  <c r="H138" i="59" a="1"/>
  <c r="N116" i="59" a="1"/>
  <c r="L12" i="59" a="1"/>
  <c r="H108" i="59" a="1"/>
  <c r="L129" i="59" a="1"/>
  <c r="L120" i="59" a="1"/>
  <c r="M41" i="59" a="1"/>
  <c r="J216" i="59" a="1"/>
  <c r="J68" i="59" a="1"/>
  <c r="K119" i="59" a="1"/>
  <c r="N223" i="59" a="1"/>
  <c r="J60" i="59" a="1"/>
  <c r="I81" i="59" a="1"/>
  <c r="K146" i="59" a="1"/>
  <c r="G208" i="59" a="1"/>
  <c r="G167" i="59" a="1"/>
  <c r="M154" i="59" a="1"/>
  <c r="J163" i="59" a="1"/>
  <c r="J271" i="59" a="1"/>
  <c r="H87" i="59" a="1"/>
  <c r="N136" i="59" a="1"/>
  <c r="L139" i="59" a="1"/>
  <c r="M254" i="59" a="1"/>
  <c r="K54" i="59" a="1"/>
  <c r="L204" i="59" a="1"/>
  <c r="H2" i="59" a="1"/>
  <c r="J26" i="59" a="1"/>
  <c r="N56" i="59" a="1"/>
  <c r="M219" i="59" a="1"/>
  <c r="I166" i="59" a="1"/>
  <c r="K132" i="59" a="1"/>
  <c r="L67" i="59" a="1"/>
  <c r="H180" i="59" a="1"/>
  <c r="J69" i="59" a="1"/>
  <c r="L257" i="59" a="1"/>
  <c r="H173" i="59" a="1"/>
  <c r="M148" i="59" a="1"/>
  <c r="G247" i="59" a="1"/>
  <c r="G142" i="59" a="1"/>
  <c r="I99" i="59" a="1"/>
  <c r="H65" i="59" a="1"/>
  <c r="J209" i="59" a="1"/>
  <c r="K77" i="59" a="1"/>
  <c r="H80" i="59" a="1"/>
  <c r="G191" i="59" a="1"/>
  <c r="K262" i="59" a="1"/>
  <c r="H76" i="59" a="1"/>
  <c r="M172" i="59" a="1"/>
  <c r="I43" i="59" a="1"/>
  <c r="J50" i="59" a="1"/>
  <c r="G20" i="59" a="1"/>
  <c r="H6" i="59" a="1"/>
  <c r="J43" i="59" a="1"/>
  <c r="G201" i="59" a="1"/>
  <c r="J157" i="59" a="1"/>
  <c r="M164" i="59" a="1"/>
  <c r="M195" i="59" a="1"/>
  <c r="N92" i="59" a="1"/>
  <c r="N125" i="59" a="1"/>
  <c r="N124" i="59" a="1"/>
  <c r="M65" i="59" a="1"/>
  <c r="I187" i="59" a="1"/>
  <c r="G186" i="59" a="1"/>
  <c r="H127" i="59" a="1"/>
  <c r="J162" i="59" a="1"/>
  <c r="K195" i="59" a="1"/>
  <c r="I66" i="59" a="1"/>
  <c r="M63" i="59" a="1"/>
  <c r="K70" i="59" a="1"/>
  <c r="J234" i="59" a="1"/>
  <c r="N72" i="59" a="1"/>
  <c r="N244" i="59" a="1"/>
  <c r="J127" i="59" a="1"/>
  <c r="H262" i="59" a="1"/>
  <c r="L176" i="59" a="1"/>
  <c r="M3" i="59" a="1"/>
  <c r="I150" i="59" a="1"/>
  <c r="I221" i="59" a="1"/>
  <c r="J260" i="59" a="1"/>
  <c r="K231" i="59" a="1"/>
  <c r="K241" i="59" a="1"/>
  <c r="G178" i="59" a="1"/>
  <c r="K17" i="59" a="1"/>
  <c r="M120" i="59" a="1"/>
  <c r="I16" i="59" a="1"/>
  <c r="K140" i="59" a="1"/>
  <c r="J140" i="59" a="1"/>
  <c r="J247" i="59" a="1"/>
  <c r="N115" i="59" a="1"/>
  <c r="N74" i="59" a="1"/>
  <c r="N142" i="59" a="1"/>
  <c r="I40" i="59" a="1"/>
  <c r="I232" i="59" a="1"/>
  <c r="I78" i="59" a="1"/>
  <c r="K155" i="59" a="1"/>
  <c r="L92" i="59" a="1"/>
  <c r="L110" i="59" a="1"/>
  <c r="I163" i="59" a="1"/>
  <c r="M242" i="59" a="1"/>
  <c r="G85" i="59" a="1"/>
  <c r="I194" i="59" a="1"/>
  <c r="G258" i="59" a="1"/>
  <c r="H164" i="59" a="1"/>
  <c r="K158" i="59" a="1"/>
  <c r="I201" i="59" a="1"/>
  <c r="H268" i="59" a="1"/>
  <c r="N88" i="59" a="1"/>
  <c r="I191" i="59" a="1"/>
  <c r="K256" i="59" a="1"/>
  <c r="G7" i="59" a="1"/>
  <c r="G136" i="59" a="1"/>
  <c r="L51" i="59" a="1"/>
  <c r="H52" i="59" a="1"/>
  <c r="M139" i="59" a="1"/>
  <c r="J254" i="59" a="1"/>
  <c r="G23" i="59" a="1"/>
  <c r="J85" i="59" a="1"/>
  <c r="H130" i="59" a="1"/>
  <c r="G217" i="59" a="1"/>
  <c r="I130" i="59" a="1"/>
  <c r="I247" i="59" a="1"/>
  <c r="H72" i="59" a="1"/>
  <c r="G248" i="59" a="1"/>
  <c r="H238" i="59" a="1"/>
  <c r="L113" i="59" a="1"/>
  <c r="J193" i="59" a="1"/>
  <c r="M262" i="59" a="1"/>
  <c r="G218" i="59" a="1"/>
  <c r="G203" i="59" a="1"/>
  <c r="N113" i="59" a="1"/>
  <c r="N41" i="59" a="1"/>
  <c r="H237" i="59" a="1"/>
  <c r="J124" i="59" a="1"/>
  <c r="L105" i="59" a="1"/>
  <c r="J203" i="59" a="1"/>
  <c r="G29" i="59" a="1"/>
  <c r="M34" i="59" a="1"/>
  <c r="J248" i="59" a="1"/>
  <c r="J237" i="59" a="1"/>
  <c r="L126" i="59" a="1"/>
  <c r="J206" i="59" a="1"/>
  <c r="H132" i="59" a="1"/>
  <c r="L103" i="59" a="1"/>
  <c r="N103" i="59" a="1"/>
  <c r="I41" i="59" a="1"/>
  <c r="I54" i="59" a="1"/>
  <c r="K156" i="59" a="1"/>
  <c r="I199" i="59" a="1"/>
  <c r="I72" i="59" a="1"/>
  <c r="K129" i="59" a="1"/>
  <c r="J270" i="59" a="1"/>
  <c r="M113" i="59" a="1"/>
  <c r="M42" i="59" a="1"/>
  <c r="G204" i="59" a="1"/>
  <c r="L81" i="59" a="1"/>
  <c r="H246" i="59" a="1"/>
  <c r="I104" i="59" a="1"/>
  <c r="J182" i="59" a="1"/>
  <c r="M194" i="59" a="1"/>
  <c r="H172" i="59" a="1"/>
  <c r="I39" i="59" a="1"/>
  <c r="M244" i="59" a="1"/>
  <c r="G235" i="59" a="1"/>
  <c r="N78" i="59" a="1"/>
  <c r="J188" i="59" a="1"/>
  <c r="N22" i="59" a="1"/>
  <c r="I31" i="59" a="1"/>
  <c r="M129" i="59" a="1"/>
  <c r="M235" i="59" a="1"/>
  <c r="H14" i="59" a="1"/>
  <c r="N102" i="59" a="1"/>
  <c r="M20" i="59" a="1"/>
  <c r="K206" i="59" a="1"/>
  <c r="I46" i="59" a="1"/>
  <c r="J179" i="59" a="1"/>
  <c r="G240" i="59" a="1"/>
  <c r="N2" i="59" a="1"/>
  <c r="I25" i="59" a="1"/>
  <c r="G60" i="59" a="1"/>
  <c r="L28" i="59" a="1"/>
  <c r="M36" i="59" a="1"/>
  <c r="L40" i="59" a="1"/>
  <c r="J37" i="59" a="1"/>
  <c r="M22" i="59" a="1"/>
  <c r="J147" i="59" a="1"/>
  <c r="M259" i="59" a="1"/>
  <c r="J257" i="59" a="1"/>
  <c r="L19" i="59" a="1"/>
  <c r="M192" i="59" a="1"/>
  <c r="I138" i="59" a="1"/>
  <c r="L44" i="59" a="1"/>
  <c r="L31" i="59" a="1"/>
  <c r="M28" i="59" a="1"/>
  <c r="K113" i="59" a="1"/>
  <c r="I205" i="59" a="1"/>
  <c r="I60" i="59" a="1"/>
  <c r="H186" i="59" a="1"/>
  <c r="H179" i="59" a="1"/>
  <c r="N231" i="59" a="1"/>
  <c r="N235" i="59" a="1"/>
  <c r="M147" i="59" a="1"/>
  <c r="M40" i="59" a="1"/>
  <c r="K152" i="59" a="1"/>
  <c r="I77" i="59" a="1"/>
  <c r="L63" i="59" a="1"/>
  <c r="H9" i="59" a="1"/>
  <c r="J77" i="59" a="1"/>
  <c r="G56" i="59" a="1"/>
  <c r="I92" i="59" a="1"/>
  <c r="I237" i="59" a="1"/>
  <c r="H115" i="59" a="1"/>
  <c r="K267" i="59" a="1"/>
  <c r="I223" i="59" a="1"/>
  <c r="N14" i="59" a="1"/>
  <c r="L209" i="59" a="1"/>
  <c r="G150" i="59" a="1"/>
  <c r="K204" i="59" a="1"/>
  <c r="K249" i="59" a="1"/>
  <c r="K115" i="59" a="1"/>
  <c r="N26" i="59" a="1"/>
  <c r="I182" i="59" a="1"/>
  <c r="M168" i="59" a="1"/>
  <c r="K116" i="59" a="1"/>
  <c r="I214" i="59" a="1"/>
  <c r="I6" i="59" a="1"/>
  <c r="K58" i="59" a="1"/>
  <c r="K106" i="59" a="1"/>
  <c r="H134" i="59" a="1"/>
  <c r="H202" i="59" a="1"/>
  <c r="K236" i="59" a="1"/>
  <c r="G237" i="59" a="1"/>
  <c r="J192" i="59" a="1"/>
  <c r="G250" i="59" a="1"/>
  <c r="G32" i="59" a="1"/>
  <c r="K45" i="59" a="1"/>
  <c r="K145" i="59" a="1"/>
  <c r="M54" i="59" a="1"/>
  <c r="M136" i="59" a="1"/>
  <c r="H232" i="59" a="1"/>
  <c r="K23" i="59" a="1"/>
  <c r="N206" i="59" a="1"/>
  <c r="N37" i="59" a="1"/>
  <c r="M223" i="59" a="1"/>
  <c r="N86" i="59" a="1"/>
  <c r="M122" i="59" a="1"/>
  <c r="K97" i="59" a="1"/>
  <c r="G86" i="59" a="1"/>
  <c r="I193" i="59" a="1"/>
  <c r="M156" i="59" a="1"/>
  <c r="J29" i="59" a="1"/>
  <c r="L5" i="59" a="1"/>
  <c r="N269" i="59" a="1"/>
  <c r="N94" i="59" a="1"/>
  <c r="N144" i="59" a="1"/>
  <c r="G252" i="59" a="1"/>
  <c r="K201" i="59" a="1"/>
  <c r="K193" i="59" a="1"/>
  <c r="N167" i="59" a="1"/>
  <c r="J217" i="59" a="1"/>
  <c r="M18" i="59" a="1"/>
  <c r="L224" i="59" a="1"/>
  <c r="J220" i="59" a="1"/>
  <c r="H153" i="59" a="1"/>
  <c r="I79" i="59" a="1"/>
  <c r="M103" i="59" a="1"/>
  <c r="K105" i="59" a="1"/>
  <c r="G151" i="59" a="1"/>
  <c r="J180" i="59" a="1"/>
  <c r="L269" i="59" a="1"/>
  <c r="G25" i="59" a="1"/>
  <c r="G206" i="59" a="1"/>
  <c r="I263" i="59" a="1"/>
  <c r="J66" i="59" a="1"/>
  <c r="N106" i="59" a="1"/>
  <c r="H98" i="59" a="1"/>
  <c r="M12" i="59" a="1"/>
  <c r="I142" i="59" a="1"/>
  <c r="M58" i="59" a="1"/>
  <c r="M180" i="59" a="1"/>
  <c r="G129" i="59" a="1"/>
  <c r="N262" i="59" a="1"/>
  <c r="G185" i="59" a="1"/>
  <c r="M137" i="59" a="1"/>
  <c r="N226" i="59" a="1"/>
  <c r="M138" i="59" a="1"/>
  <c r="H258" i="59" a="1"/>
  <c r="I102" i="59" a="1"/>
  <c r="K11" i="59" a="1"/>
  <c r="K79" i="59" a="1"/>
  <c r="K265" i="59" a="1"/>
  <c r="H234" i="59" a="1"/>
  <c r="G30" i="59" a="1"/>
  <c r="G82" i="59" a="1"/>
  <c r="J125" i="59" a="1"/>
  <c r="K255" i="59" a="1"/>
  <c r="H101" i="59" a="1"/>
  <c r="K20" i="59" a="1"/>
  <c r="G22" i="59" a="1"/>
  <c r="H13" i="59" a="1"/>
  <c r="L222" i="59" a="1"/>
  <c r="N61" i="59" a="1"/>
  <c r="J36" i="59" a="1"/>
  <c r="K232" i="59" a="1"/>
  <c r="G119" i="59" a="1"/>
  <c r="K69" i="59" a="1"/>
  <c r="J10" i="59" a="1"/>
  <c r="M114" i="59" a="1"/>
  <c r="J58" i="59" a="1"/>
  <c r="N138" i="59" a="1"/>
  <c r="G67" i="59" a="1"/>
  <c r="K205" i="59" a="1"/>
  <c r="H255" i="59" a="1"/>
  <c r="I117" i="59" a="1"/>
  <c r="L233" i="59" a="1"/>
  <c r="L228" i="59" a="1"/>
  <c r="M226" i="59" a="1"/>
  <c r="K123" i="59" a="1"/>
  <c r="J238" i="59" a="1"/>
  <c r="G41" i="59" a="1"/>
  <c r="K150" i="59" a="1"/>
  <c r="L87" i="59" a="1"/>
  <c r="J190" i="59" a="1"/>
  <c r="I210" i="59" a="1"/>
  <c r="H140" i="59" a="1"/>
  <c r="J262" i="59" a="1"/>
  <c r="N105" i="59" a="1"/>
  <c r="K25" i="59" a="1"/>
  <c r="G78" i="59" a="1"/>
  <c r="H174" i="59" a="1"/>
  <c r="H185" i="59" a="1"/>
  <c r="L36" i="59" a="1"/>
  <c r="M128" i="59" a="1"/>
  <c r="L66" i="59" a="1"/>
  <c r="N193" i="59" a="1"/>
  <c r="H70" i="59" a="1"/>
  <c r="K226" i="59" a="1"/>
  <c r="K131" i="59" a="1"/>
  <c r="L231" i="59" a="1"/>
  <c r="J61" i="59" a="1"/>
  <c r="H59" i="59" a="1"/>
  <c r="I162" i="59" a="1"/>
  <c r="L140" i="59" a="1"/>
  <c r="H23" i="59" a="1"/>
  <c r="I184" i="59" a="1"/>
  <c r="G236" i="59" a="1"/>
  <c r="M212" i="59" a="1"/>
  <c r="N140" i="59" a="1"/>
  <c r="I58" i="59" a="1"/>
  <c r="I233" i="59" a="1"/>
  <c r="N109" i="59" a="1"/>
  <c r="N87" i="59" a="1"/>
  <c r="I50" i="59" a="1"/>
  <c r="H66" i="59" a="1"/>
  <c r="N157" i="59" a="1"/>
  <c r="K85" i="59" a="1"/>
  <c r="L111" i="59" a="1"/>
  <c r="J268" i="59" a="1"/>
  <c r="N205" i="59" a="1"/>
  <c r="J151" i="59" a="1"/>
  <c r="K137" i="59" a="1"/>
  <c r="K194" i="59" a="1"/>
  <c r="I228" i="59" a="1"/>
  <c r="G212" i="59" a="1"/>
  <c r="K107" i="59" a="1"/>
  <c r="L24" i="59" a="1"/>
  <c r="J146" i="59" a="1"/>
  <c r="J232" i="59" a="1"/>
  <c r="G70" i="59" a="1"/>
  <c r="I200" i="59" a="1"/>
  <c r="L38" i="59" a="1"/>
  <c r="J123" i="59" a="1"/>
  <c r="G256" i="59" a="1"/>
  <c r="I65" i="59" a="1"/>
  <c r="G53" i="59" a="1"/>
  <c r="N253" i="59" a="1"/>
  <c r="H182" i="59" a="1"/>
  <c r="M257" i="59" a="1"/>
  <c r="I62" i="59" a="1"/>
  <c r="M23" i="59" a="1"/>
  <c r="J93" i="59" a="1"/>
  <c r="G200" i="59" a="1"/>
  <c r="I21" i="59" a="1"/>
  <c r="M141" i="59" a="1"/>
  <c r="G164" i="59" a="1"/>
  <c r="L98" i="59" a="1"/>
  <c r="I133" i="59" a="1"/>
  <c r="G54" i="59" a="1"/>
  <c r="G183" i="59" a="1"/>
  <c r="H215" i="59" a="1"/>
  <c r="H146" i="59" a="1"/>
  <c r="L221" i="59" a="1"/>
  <c r="H159" i="59" a="1"/>
  <c r="J218" i="59" a="1"/>
  <c r="G134" i="59" a="1"/>
  <c r="G154" i="59" a="1"/>
  <c r="I255" i="59" a="1"/>
  <c r="L53" i="59" a="1"/>
  <c r="I11" i="59" a="1"/>
  <c r="J132" i="59" a="1"/>
  <c r="H113" i="59" a="1"/>
  <c r="K92" i="59" a="1"/>
  <c r="J170" i="59" a="1"/>
  <c r="L206" i="59" a="1"/>
  <c r="L151" i="59" a="1"/>
  <c r="N185" i="59" a="1"/>
  <c r="K266" i="59" a="1"/>
  <c r="H103" i="59" a="1"/>
  <c r="L213" i="59" a="1"/>
  <c r="N50" i="59" a="1"/>
  <c r="I105" i="59" a="1"/>
  <c r="G24" i="59" a="1"/>
  <c r="N176" i="59" a="1"/>
  <c r="G238" i="59" a="1"/>
  <c r="G61" i="59" a="1"/>
  <c r="M109" i="59" a="1"/>
  <c r="K247" i="59" a="1"/>
  <c r="H224" i="59" a="1"/>
  <c r="M260" i="59" a="1"/>
  <c r="L156" i="59" a="1"/>
  <c r="J156" i="59" a="1"/>
  <c r="G253" i="59" a="1"/>
  <c r="I101" i="59" a="1"/>
  <c r="M119" i="59" a="1"/>
  <c r="J152" i="59" a="1"/>
  <c r="K230" i="59" a="1"/>
  <c r="N133" i="59" a="1"/>
  <c r="K90" i="59" a="1"/>
  <c r="L166" i="59" a="1"/>
  <c r="I176" i="59" a="1"/>
  <c r="L83" i="59" a="1"/>
  <c r="H197" i="59" a="1"/>
  <c r="M165" i="59" a="1"/>
  <c r="H126" i="59" a="1"/>
  <c r="M191" i="59" a="1"/>
  <c r="N266" i="59" a="1"/>
  <c r="I5" i="59" a="1"/>
  <c r="I197" i="59" a="1"/>
  <c r="I23" i="59" a="1"/>
  <c r="M6" i="59" a="1"/>
  <c r="M178" i="59" a="1"/>
  <c r="J55" i="59" a="1"/>
  <c r="H47" i="59" a="1"/>
  <c r="G125" i="59" a="1"/>
  <c r="K38" i="59" a="1"/>
  <c r="H67" i="59" a="1"/>
  <c r="M4" i="59" a="1"/>
  <c r="I257" i="59" a="1"/>
  <c r="K198" i="59" a="1"/>
  <c r="G190" i="59" a="1"/>
  <c r="N145" i="59" a="1"/>
  <c r="L8" i="59" a="1"/>
  <c r="G246" i="59" a="1"/>
  <c r="G127" i="59" a="1"/>
  <c r="N141" i="59" a="1"/>
  <c r="N238" i="59" a="1"/>
  <c r="I28" i="59" a="1"/>
  <c r="J53" i="59" a="1"/>
  <c r="N99" i="59" a="1"/>
  <c r="I112" i="59" a="1"/>
  <c r="J186" i="59" a="1"/>
  <c r="I61" i="59" a="1"/>
  <c r="M239" i="59" a="1"/>
  <c r="I174" i="59" a="1"/>
  <c r="L251" i="59" a="1"/>
  <c r="N195" i="59" a="1"/>
  <c r="L97" i="59" a="1"/>
  <c r="N146" i="59" a="1"/>
  <c r="G77" i="59" a="1"/>
  <c r="H89" i="59" a="1"/>
  <c r="K207" i="59" a="1"/>
  <c r="L106" i="59" a="1"/>
  <c r="G171" i="59" a="1"/>
  <c r="L115" i="59" a="1"/>
  <c r="J225" i="59" a="1"/>
  <c r="I76" i="59" a="1"/>
  <c r="K224" i="59" a="1"/>
  <c r="M52" i="59" a="1"/>
  <c r="N207" i="59" a="1"/>
  <c r="J40" i="59" a="1"/>
  <c r="H260" i="59" a="1"/>
  <c r="M102" i="59" a="1"/>
  <c r="N168" i="59" a="1"/>
  <c r="L250" i="59" a="1"/>
  <c r="J259" i="59" a="1"/>
  <c r="N161" i="59" a="1"/>
  <c r="H263" i="59" a="1"/>
  <c r="L39" i="59" a="1"/>
  <c r="J90" i="59" a="1"/>
  <c r="M160" i="59" a="1"/>
  <c r="K53" i="59" a="1"/>
  <c r="N51" i="59" a="1"/>
  <c r="L104" i="59" a="1"/>
  <c r="M30" i="59" a="1"/>
  <c r="J5" i="59" a="1"/>
  <c r="G92" i="59" a="1"/>
  <c r="K93" i="59" a="1"/>
  <c r="H167" i="59" a="1"/>
  <c r="L3" i="59" a="1"/>
  <c r="I231" i="59" a="1"/>
  <c r="M130" i="59" a="1"/>
  <c r="L238" i="59" a="1"/>
  <c r="L183" i="59" a="1"/>
  <c r="M151" i="59" a="1"/>
  <c r="H46" i="59" a="1"/>
  <c r="H148" i="59" a="1"/>
  <c r="N163" i="59" a="1"/>
  <c r="H163" i="59" a="1"/>
  <c r="H64" i="59" a="1"/>
  <c r="G124" i="59" a="1"/>
  <c r="M241" i="59" a="1"/>
  <c r="L108" i="59" a="1"/>
  <c r="K208" i="59" a="1"/>
  <c r="M85" i="59" a="1"/>
  <c r="M236" i="59" a="1"/>
  <c r="N75" i="59" a="1"/>
  <c r="I244" i="59" a="1"/>
  <c r="K57" i="59" a="1"/>
  <c r="M125" i="59" a="1"/>
  <c r="L59" i="59" a="1"/>
  <c r="M237" i="59" a="1"/>
  <c r="H235" i="59" a="1"/>
  <c r="J164" i="59" a="1"/>
  <c r="K268" i="59" a="1"/>
  <c r="G83" i="59" a="1"/>
  <c r="L155" i="59" a="1"/>
  <c r="L124" i="59" a="1"/>
  <c r="G64" i="59" a="1"/>
  <c r="H184" i="59" a="1"/>
  <c r="L162" i="59" a="1"/>
  <c r="H4" i="59" a="1"/>
  <c r="N245" i="59" a="1"/>
  <c r="L185" i="59" a="1"/>
  <c r="H211" i="59" a="1"/>
  <c r="M231" i="59" a="1"/>
  <c r="J235" i="59" a="1"/>
  <c r="K186" i="59" a="1"/>
  <c r="N30" i="59" a="1"/>
  <c r="H213" i="59" a="1"/>
  <c r="G71" i="59" a="1"/>
  <c r="J208" i="59" a="1"/>
  <c r="M204" i="59" a="1"/>
  <c r="K110" i="59" a="1"/>
  <c r="M248" i="59" a="1"/>
  <c r="N210" i="59" a="1"/>
  <c r="H92" i="59" a="1"/>
  <c r="L60" i="59" a="1"/>
  <c r="G116" i="59" a="1"/>
  <c r="L143" i="59" a="1"/>
  <c r="L131" i="59" a="1"/>
  <c r="N251" i="59" a="1"/>
  <c r="J252" i="59" a="1"/>
  <c r="H166" i="59" a="1"/>
  <c r="L201" i="59" a="1"/>
  <c r="N199" i="59" a="1"/>
  <c r="H45" i="59" a="1"/>
  <c r="N265" i="59" a="1"/>
  <c r="L157" i="59" a="1"/>
  <c r="G95" i="59" a="1"/>
  <c r="K42" i="59" a="1"/>
  <c r="K139" i="59" a="1"/>
  <c r="M116" i="59" a="1"/>
  <c r="H125" i="59" a="1"/>
  <c r="J67" i="59" a="1"/>
  <c r="J160" i="59" a="1"/>
  <c r="H191" i="59" a="1"/>
  <c r="I128" i="59" a="1"/>
  <c r="M44" i="59" a="1"/>
  <c r="J139" i="59" a="1"/>
  <c r="M24" i="59" a="1"/>
  <c r="N217" i="59" a="1"/>
  <c r="K215" i="59" a="1"/>
  <c r="H152" i="59" a="1"/>
  <c r="L135" i="59" a="1"/>
  <c r="K260" i="59" a="1"/>
  <c r="I236" i="59" a="1"/>
  <c r="K227" i="59" a="1"/>
  <c r="H26" i="59" a="1"/>
  <c r="L45" i="59" a="1"/>
  <c r="M117" i="59" a="1"/>
  <c r="N52" i="59" a="1"/>
  <c r="L102" i="59" a="1"/>
  <c r="N267" i="59" a="1"/>
  <c r="L237" i="59" a="1"/>
  <c r="I20" i="59" a="1"/>
  <c r="N67" i="59" a="1"/>
  <c r="G180" i="59" a="1"/>
  <c r="M27" i="59" a="1"/>
  <c r="K49" i="59" a="1"/>
  <c r="I229" i="59" a="1"/>
  <c r="G263" i="59" a="1"/>
  <c r="J20" i="59" a="1"/>
  <c r="G145" i="59" a="1"/>
  <c r="H240" i="59" a="1"/>
  <c r="N95" i="59" a="1"/>
  <c r="G36" i="59" a="1"/>
  <c r="H251" i="59" a="1"/>
  <c r="H248" i="59" a="1"/>
  <c r="N250" i="59" a="1"/>
  <c r="H129" i="59" a="1"/>
  <c r="M84" i="59" a="1"/>
  <c r="H161" i="59" a="1"/>
  <c r="L138" i="59" a="1"/>
  <c r="K209" i="59" a="1"/>
  <c r="H136" i="59" a="1"/>
  <c r="N98" i="59" a="1"/>
  <c r="M258" i="59" a="1"/>
  <c r="J91" i="59" a="1"/>
  <c r="G45" i="59" a="1"/>
  <c r="M162" i="59" a="1"/>
  <c r="M213" i="59" a="1"/>
  <c r="H68" i="59" a="1"/>
  <c r="N200" i="59" a="1"/>
  <c r="I8" i="59" a="1"/>
  <c r="I198" i="59" a="1"/>
  <c r="H123" i="59" a="1"/>
  <c r="G161" i="59" a="1"/>
  <c r="I169" i="59" a="1"/>
  <c r="J198" i="59" a="1"/>
  <c r="M203" i="59" a="1"/>
  <c r="G80" i="59" a="1"/>
  <c r="G10" i="59" a="1"/>
  <c r="J255" i="59" a="1"/>
  <c r="G265" i="59" a="1"/>
  <c r="N208" i="59" a="1"/>
  <c r="N261" i="59" a="1"/>
  <c r="L6" i="59" a="1"/>
  <c r="N83" i="59" a="1"/>
  <c r="L261" i="59" a="1"/>
  <c r="G84" i="59" a="1"/>
  <c r="K157" i="59" a="1"/>
  <c r="N216" i="59" a="1"/>
  <c r="L188" i="59" a="1"/>
  <c r="L230" i="59" a="1"/>
  <c r="I106" i="59" a="1"/>
  <c r="N80" i="59" a="1"/>
  <c r="J81" i="59" a="1"/>
  <c r="I213" i="59" a="1"/>
  <c r="N239" i="59" a="1"/>
  <c r="M158" i="59" a="1"/>
  <c r="G51" i="59" a="1"/>
  <c r="K102" i="59" a="1"/>
  <c r="M104" i="59" a="1"/>
  <c r="L208" i="59" a="1"/>
  <c r="I219" i="59" a="1"/>
  <c r="G117" i="59" a="1"/>
  <c r="L173" i="59" a="1"/>
  <c r="G16" i="59" a="1"/>
  <c r="J207" i="59" a="1"/>
  <c r="J161" i="59" a="1"/>
  <c r="I222" i="59" a="1"/>
  <c r="M72" i="59" a="1"/>
  <c r="H188" i="59" a="1"/>
  <c r="M145" i="59" a="1"/>
  <c r="N114" i="59" a="1"/>
  <c r="N39" i="59" a="1"/>
  <c r="L265" i="59" a="1"/>
  <c r="G140" i="59" a="1"/>
  <c r="I203" i="59" a="1"/>
  <c r="G8" i="59" a="1"/>
  <c r="L243" i="59" a="1"/>
  <c r="I124" i="59" a="1"/>
  <c r="H86" i="59" a="1"/>
  <c r="H150" i="59" a="1"/>
  <c r="K163" i="59" a="1"/>
  <c r="J236" i="59" a="1"/>
  <c r="K63" i="59" a="1"/>
  <c r="I121" i="59" a="1"/>
  <c r="M196" i="59" a="1"/>
  <c r="K35" i="59" a="1"/>
  <c r="H271" i="59" a="1"/>
  <c r="I69" i="59" a="1"/>
  <c r="N23" i="59" a="1"/>
  <c r="M228" i="59" a="1"/>
  <c r="I272" i="59" a="1"/>
  <c r="I95" i="59" a="1"/>
  <c r="J59" i="59" a="1"/>
  <c r="I111" i="59" a="1"/>
  <c r="N29" i="59" a="1"/>
  <c r="M253" i="59" a="1"/>
  <c r="L70" i="59" a="1"/>
  <c r="J8" i="59" a="1"/>
  <c r="K174" i="59" a="1"/>
  <c r="N33" i="59" a="1"/>
  <c r="H222" i="59" a="1"/>
  <c r="L264" i="59" a="1"/>
  <c r="L258" i="59" a="1"/>
  <c r="K33" i="59" a="1"/>
  <c r="H93" i="59" a="1"/>
  <c r="M74" i="59" a="1"/>
  <c r="J211" i="59" a="1"/>
  <c r="M184" i="59" a="1"/>
  <c r="I253" i="59" a="1"/>
  <c r="L42" i="59" a="1"/>
  <c r="J86" i="59" a="1"/>
  <c r="J35" i="59" a="1"/>
  <c r="K94" i="59" a="1"/>
  <c r="G222" i="59" a="1"/>
  <c r="N53" i="59" a="1"/>
  <c r="I68" i="59" a="1"/>
  <c r="K176" i="59" a="1"/>
  <c r="K234" i="59" a="1"/>
  <c r="G249" i="59" a="1"/>
  <c r="G111" i="59" a="1"/>
  <c r="J30" i="59" a="1"/>
  <c r="G188" i="59" a="1"/>
  <c r="I265" i="59" a="1"/>
  <c r="N159" i="59" a="1"/>
  <c r="N209" i="59" a="1"/>
  <c r="H231" i="59" a="1"/>
  <c r="M132" i="59" a="1"/>
  <c r="K117" i="59" a="1"/>
  <c r="G158" i="59" a="1"/>
  <c r="J267" i="59" a="1"/>
  <c r="N230" i="59" a="1"/>
  <c r="I90" i="59" a="1"/>
  <c r="K153" i="59" a="1"/>
  <c r="I3" i="59" a="1"/>
  <c r="M86" i="59" a="1"/>
  <c r="K182" i="59" a="1"/>
  <c r="J46" i="59" a="1"/>
  <c r="G43" i="59" a="1"/>
  <c r="L84" i="59" a="1"/>
  <c r="M199" i="59" a="1"/>
  <c r="L85" i="59" a="1"/>
  <c r="M14" i="59" a="1"/>
  <c r="M94" i="59" a="1"/>
  <c r="G81" i="59" a="1"/>
  <c r="L132" i="59" a="1"/>
  <c r="N64" i="59" a="1"/>
  <c r="N263" i="59" a="1"/>
  <c r="H131" i="59" a="1"/>
  <c r="J33" i="59" a="1"/>
  <c r="M153" i="59" a="1"/>
  <c r="N186" i="59" a="1"/>
  <c r="G52" i="59" a="1"/>
  <c r="G101" i="59" a="1"/>
  <c r="G174" i="59" a="1"/>
  <c r="G123" i="59" a="1"/>
  <c r="G241" i="59" a="1"/>
  <c r="K228" i="59" a="1"/>
  <c r="M220" i="59" a="1"/>
  <c r="H145" i="59" a="1"/>
  <c r="L236" i="59" a="1"/>
  <c r="K44" i="59" a="1"/>
  <c r="K160" i="59" a="1"/>
  <c r="J114" i="59" a="1"/>
  <c r="M21" i="59" a="1"/>
  <c r="L10" i="59" a="1"/>
  <c r="I165" i="59" a="1"/>
  <c r="M175" i="59" a="1"/>
  <c r="K22" i="59" a="1"/>
  <c r="I224" i="59" a="1"/>
  <c r="H116" i="59" a="1"/>
  <c r="L260" i="59" a="1"/>
  <c r="N203" i="59" a="1"/>
  <c r="L30" i="59" a="1"/>
  <c r="L239" i="59" a="1"/>
  <c r="G79" i="59" a="1"/>
  <c r="J191" i="59" a="1"/>
  <c r="G187" i="59" a="1"/>
  <c r="I139" i="59" a="1"/>
  <c r="H158" i="59" a="1"/>
  <c r="G103" i="59" a="1"/>
  <c r="N10" i="59" a="1"/>
  <c r="I52" i="59" a="1"/>
  <c r="N57" i="59" a="1"/>
  <c r="L161" i="59" a="1"/>
  <c r="G46" i="59" a="1"/>
  <c r="K13" i="59" a="1"/>
  <c r="H85" i="59" a="1"/>
  <c r="L15" i="59" a="1"/>
  <c r="I91" i="59" a="1"/>
  <c r="J32" i="59" a="1"/>
  <c r="J269" i="59" a="1"/>
  <c r="L197" i="59" a="1"/>
  <c r="M99" i="59" a="1"/>
  <c r="M200" i="59" a="1"/>
  <c r="N197" i="59" a="1"/>
  <c r="K164" i="59" a="1"/>
  <c r="H169" i="59" a="1"/>
  <c r="G207" i="59" a="1"/>
  <c r="I45" i="59" a="1"/>
  <c r="G28" i="59" a="1"/>
  <c r="K67" i="59" a="1"/>
  <c r="I220" i="59" a="1"/>
  <c r="K169" i="59" a="1"/>
  <c r="H8" i="59" a="1"/>
  <c r="G169" i="59" a="1"/>
  <c r="J250" i="59" a="1"/>
  <c r="G239" i="59" a="1"/>
  <c r="M50" i="59" a="1"/>
  <c r="M157" i="59" a="1"/>
  <c r="N81" i="59" a="1"/>
  <c r="G243" i="59" a="1"/>
  <c r="L256" i="59" a="1"/>
  <c r="H261" i="59" a="1"/>
  <c r="I123" i="59" a="1"/>
  <c r="M89" i="59" a="1"/>
  <c r="K28" i="59" a="1"/>
  <c r="J228" i="59" a="1"/>
  <c r="K170" i="59" a="1"/>
  <c r="M92" i="59" a="1"/>
  <c r="I93" i="59" a="1"/>
  <c r="I107" i="59" a="1"/>
  <c r="J119" i="59" a="1"/>
  <c r="G264" i="59" a="1"/>
  <c r="N219" i="59" a="1"/>
  <c r="I10" i="59" a="1"/>
  <c r="G138" i="59" a="1"/>
  <c r="H128" i="59" a="1"/>
  <c r="M56" i="59" a="1"/>
  <c r="H15" i="59" a="1"/>
  <c r="G233" i="59" a="1"/>
  <c r="I154" i="59" a="1"/>
  <c r="M135" i="59" a="1"/>
  <c r="I243" i="59" a="1"/>
  <c r="I254" i="59" a="1"/>
  <c r="G162" i="59" a="1"/>
  <c r="H120" i="59" a="1"/>
  <c r="G220" i="59" a="1"/>
  <c r="H157" i="59" a="1"/>
  <c r="M266" i="59" a="1"/>
  <c r="I140" i="59" a="1"/>
  <c r="H16" i="59" a="1"/>
  <c r="N90" i="59" a="1"/>
  <c r="H257" i="59" a="1"/>
  <c r="N91" i="59" a="1"/>
  <c r="K189" i="59" a="1"/>
  <c r="N190" i="59" a="1"/>
  <c r="M134" i="59" a="1"/>
  <c r="N135" i="59" a="1"/>
  <c r="N82" i="59" a="1"/>
  <c r="L150" i="59" a="1"/>
  <c r="G100" i="59" a="1"/>
  <c r="H62" i="59" a="1"/>
  <c r="I57" i="59" a="1"/>
  <c r="J219" i="59" a="1"/>
  <c r="G148" i="59" a="1"/>
  <c r="G215" i="59" a="1"/>
  <c r="K166" i="59" a="1"/>
  <c r="I271" i="59" a="1"/>
  <c r="J213" i="59" a="1"/>
  <c r="L95" i="59" a="1"/>
  <c r="H244" i="59" a="1"/>
  <c r="L178" i="59" a="1"/>
  <c r="H200" i="59" a="1"/>
  <c r="I108" i="59" a="1"/>
  <c r="L32" i="59" a="1"/>
  <c r="N271" i="59" a="1"/>
  <c r="G156" i="59" a="1"/>
  <c r="G126" i="59" a="1"/>
  <c r="H75" i="59" a="1"/>
  <c r="J239" i="59" a="1"/>
  <c r="I264" i="59" a="1"/>
  <c r="I183" i="59" a="1"/>
  <c r="K114" i="59" a="1"/>
  <c r="L268" i="59" a="1"/>
  <c r="H74" i="59" a="1"/>
  <c r="M150" i="59" a="1"/>
  <c r="L219" i="59" a="1"/>
  <c r="M255" i="59" a="1"/>
  <c r="L149" i="59" a="1"/>
  <c r="M201" i="59" a="1"/>
  <c r="G228" i="59" a="1"/>
  <c r="K191" i="59" a="1"/>
  <c r="G48" i="59" a="1"/>
  <c r="M202" i="59" a="1"/>
  <c r="J210" i="59" a="1"/>
  <c r="N189" i="59" a="1"/>
  <c r="I2" i="59" a="1"/>
  <c r="M126" i="59" a="1"/>
  <c r="L27" i="59" a="1"/>
  <c r="M182" i="59" a="1"/>
  <c r="I96" i="59" a="1"/>
  <c r="L96" i="59" a="1"/>
  <c r="L54" i="59" a="1"/>
  <c r="H178" i="59" a="1"/>
  <c r="G216" i="59" a="1"/>
  <c r="K74" i="59" a="1"/>
  <c r="L245" i="59" a="1"/>
  <c r="J72" i="59" a="1"/>
  <c r="N154" i="59" a="1"/>
  <c r="J134" i="59" a="1"/>
  <c r="G107" i="59" a="1"/>
  <c r="L154" i="59" a="1"/>
  <c r="H95" i="59" a="1"/>
  <c r="L137" i="59" a="1"/>
  <c r="J130" i="59" a="1"/>
  <c r="L41" i="59" a="1"/>
  <c r="I227" i="59" a="1"/>
  <c r="M39" i="59" a="1"/>
  <c r="J230" i="59" a="1"/>
  <c r="K212" i="59" a="1"/>
  <c r="I47" i="59" a="1"/>
  <c r="J84" i="59" a="1"/>
  <c r="I7" i="59" a="1"/>
  <c r="N184" i="59" a="1"/>
  <c r="L93" i="59" a="1"/>
  <c r="M91" i="59" a="1"/>
  <c r="K222" i="59" a="1"/>
  <c r="G255" i="59" a="1"/>
  <c r="N4" i="59" a="1"/>
  <c r="I15" i="59" a="1"/>
  <c r="M106" i="59" a="1"/>
  <c r="L168" i="59" a="1"/>
  <c r="H121" i="59" a="1"/>
  <c r="G244" i="59" a="1"/>
  <c r="K184" i="59" a="1"/>
  <c r="L192" i="59" a="1"/>
  <c r="H105" i="59" a="1"/>
  <c r="N32" i="59" a="1"/>
  <c r="L153" i="59" a="1"/>
  <c r="G2" i="59" a="1"/>
  <c r="G271" i="59" a="1"/>
  <c r="L266" i="59" a="1"/>
  <c r="H61" i="59" a="1"/>
  <c r="M31" i="59" a="1"/>
  <c r="L220" i="59" a="1"/>
  <c r="I245" i="59" a="1"/>
  <c r="J150" i="59" a="1"/>
  <c r="K108" i="59" a="1"/>
  <c r="N172" i="59" a="1"/>
  <c r="N100" i="59" a="1"/>
  <c r="N130" i="59" a="1"/>
  <c r="H24" i="59" a="1"/>
  <c r="I71" i="59" a="1"/>
  <c r="N255" i="59" a="1"/>
  <c r="K124" i="59" a="1"/>
  <c r="N174" i="59" a="1"/>
  <c r="N59" i="59" a="1"/>
  <c r="N173" i="59" a="1"/>
  <c r="K109" i="59" a="1"/>
  <c r="I218" i="59" a="1"/>
  <c r="K43" i="59" a="1"/>
  <c r="G104" i="59" a="1"/>
  <c r="M185" i="59" a="1"/>
  <c r="J265" i="59" a="1"/>
  <c r="I135" i="59" a="1"/>
  <c r="N237" i="59" a="1"/>
  <c r="G224" i="59" a="1"/>
  <c r="M169" i="59" a="1"/>
  <c r="M238" i="59" a="1"/>
  <c r="G251" i="59" a="1"/>
  <c r="K82" i="59" a="1"/>
  <c r="N34" i="59" a="1"/>
  <c r="K269" i="59" a="1"/>
  <c r="N35" i="59" a="1"/>
  <c r="L210" i="59" a="1"/>
  <c r="N187" i="59" a="1"/>
  <c r="N243" i="59" a="1"/>
  <c r="L177" i="59" a="1"/>
  <c r="G42" i="59" a="1"/>
  <c r="H192" i="59" a="1"/>
  <c r="G88" i="59" a="1"/>
  <c r="I250" i="59" a="1"/>
  <c r="K21" i="59" a="1"/>
  <c r="L134" i="59" a="1"/>
  <c r="J241" i="59" a="1"/>
  <c r="H233" i="59" a="1"/>
  <c r="N198" i="59" a="1"/>
  <c r="I143" i="59" a="1"/>
  <c r="I55" i="59" a="1"/>
  <c r="K39" i="59" a="1"/>
  <c r="J251" i="59" a="1"/>
  <c r="I4" i="59" a="1"/>
  <c r="G106" i="59" a="1"/>
  <c r="J16" i="59" a="1"/>
  <c r="J18" i="59" a="1"/>
  <c r="L164" i="59" a="1"/>
  <c r="J42" i="59" a="1"/>
  <c r="I268" i="59" a="1"/>
  <c r="M170" i="59" a="1"/>
  <c r="M246" i="59" a="1"/>
  <c r="H195" i="59" a="1"/>
  <c r="K172" i="59" a="1"/>
  <c r="I80" i="59" a="1"/>
  <c r="I217" i="59" a="1"/>
  <c r="K246" i="59" a="1"/>
  <c r="K257" i="59" a="1"/>
  <c r="I238" i="59" a="1"/>
  <c r="J78" i="59" a="1"/>
  <c r="M268" i="59" a="1"/>
  <c r="L198" i="59" a="1"/>
  <c r="N60" i="59" a="1"/>
  <c r="N8" i="59" a="1"/>
  <c r="G157" i="59" a="1"/>
  <c r="J128" i="59" a="1"/>
  <c r="G195" i="59" a="1"/>
  <c r="I64" i="59" a="1"/>
  <c r="J104" i="59" a="1"/>
  <c r="M225" i="59" a="1"/>
  <c r="H56" i="59" a="1"/>
  <c r="G170" i="59" a="1"/>
  <c r="I215" i="59" a="1"/>
  <c r="J11" i="59" a="1"/>
  <c r="K240" i="59" a="1"/>
  <c r="L145" i="59" a="1"/>
  <c r="H69" i="59" a="1"/>
  <c r="J253" i="59" a="1"/>
  <c r="H144" i="59" a="1"/>
  <c r="N143" i="59" a="1"/>
  <c r="M251" i="59" a="1"/>
  <c r="K120" i="59" a="1"/>
  <c r="G269" i="59" a="1"/>
  <c r="G242" i="59" a="1"/>
  <c r="M186" i="59" a="1"/>
  <c r="I155" i="59" a="1"/>
  <c r="I30" i="59" a="1"/>
  <c r="G234" i="59" a="1"/>
  <c r="I179" i="59" a="1"/>
  <c r="H32" i="59" a="1"/>
  <c r="I132" i="59" a="1"/>
  <c r="M88" i="59" a="1"/>
  <c r="N247" i="59" a="1"/>
  <c r="M208" i="59" a="1"/>
  <c r="J17" i="59" a="1"/>
  <c r="G3" i="59" a="1"/>
  <c r="L43" i="59" a="1"/>
  <c r="L90" i="59" a="1"/>
  <c r="K118" i="59" a="1"/>
  <c r="K239" i="59" a="1"/>
  <c r="I120" i="59" a="1"/>
  <c r="N119" i="59" a="1"/>
  <c r="I129" i="59" a="1"/>
  <c r="K213" i="59" a="1"/>
  <c r="H55" i="59" a="1"/>
  <c r="L13" i="59" a="1"/>
  <c r="K26" i="59" a="1"/>
  <c r="J23" i="59" a="1"/>
  <c r="J65" i="59" a="1"/>
  <c r="J71" i="59" a="1"/>
  <c r="M49" i="59" a="1"/>
  <c r="K96" i="59" a="1"/>
  <c r="M9" i="59" a="1"/>
  <c r="K56" i="59" a="1"/>
  <c r="M124" i="59" a="1"/>
  <c r="L241" i="59" a="1"/>
  <c r="L55" i="59" a="1"/>
  <c r="K100" i="59" a="1"/>
  <c r="H267" i="59" a="1"/>
  <c r="N70" i="59" a="1"/>
  <c r="N192" i="59" a="1"/>
  <c r="J224" i="59" a="1"/>
  <c r="M64" i="59" a="1"/>
  <c r="H96" i="59" a="1"/>
  <c r="K111" i="59" a="1"/>
  <c r="J31" i="59" a="1"/>
  <c r="G12" i="59" a="1"/>
  <c r="J246" i="59" a="1"/>
  <c r="K80" i="59" a="1"/>
  <c r="I192" i="59" a="1"/>
  <c r="G259" i="59" a="1"/>
  <c r="J222" i="59" a="1"/>
  <c r="G122" i="59" a="1"/>
  <c r="J183" i="59" a="1"/>
  <c r="I115" i="59" a="1"/>
  <c r="M127" i="59" a="1"/>
  <c r="H272" i="59" a="1"/>
  <c r="G9" i="59" a="1"/>
  <c r="N162" i="59" a="1"/>
  <c r="L91" i="59" a="1"/>
  <c r="H112" i="59" a="1"/>
  <c r="J138" i="59" a="1"/>
  <c r="G65" i="59" a="1"/>
  <c r="K31" i="59" a="1"/>
  <c r="L225" i="59" a="1"/>
  <c r="G87" i="59" a="1"/>
  <c r="L101" i="59" a="1"/>
  <c r="I256" i="59" a="1"/>
  <c r="M133" i="59" a="1"/>
  <c r="H209" i="59" a="1"/>
  <c r="H170" i="59" a="1"/>
  <c r="K16" i="59" a="1"/>
  <c r="M55" i="59" a="1"/>
  <c r="H165" i="59" a="1"/>
  <c r="N204" i="59" a="1"/>
  <c r="K62" i="59" a="1"/>
  <c r="N17" i="59" a="1"/>
  <c r="L116" i="59" a="1"/>
  <c r="M96" i="59" a="1"/>
  <c r="J149" i="59" a="1"/>
  <c r="H139" i="59" a="1"/>
  <c r="N175" i="59" a="1"/>
  <c r="H38" i="59" a="1"/>
  <c r="K5" i="59" a="1"/>
  <c r="J110" i="59" a="1"/>
  <c r="N19" i="59" a="1"/>
  <c r="L186" i="59" a="1"/>
  <c r="K165" i="59" a="1"/>
  <c r="M76" i="59" a="1"/>
  <c r="N151" i="59" a="1"/>
  <c r="I67" i="59" a="1"/>
  <c r="H58" i="59" a="1"/>
  <c r="L125" i="59" a="1"/>
  <c r="K104" i="59" a="1"/>
  <c r="M59" i="59" a="1"/>
  <c r="I100" i="59" a="1"/>
  <c r="H201" i="59" a="1"/>
  <c r="M214" i="59" a="1"/>
  <c r="H155" i="59" a="1"/>
  <c r="I97" i="59" a="1"/>
  <c r="J233" i="59" a="1"/>
  <c r="M105" i="59" a="1"/>
  <c r="L216" i="59" a="1"/>
  <c r="I266" i="59" a="1"/>
  <c r="L144" i="59" a="1"/>
  <c r="N77" i="59" a="1"/>
  <c r="J82" i="59" a="1"/>
  <c r="G49" i="59" a="1"/>
  <c r="G89" i="59" a="1"/>
  <c r="I185" i="59" a="1"/>
  <c r="I180" i="59" a="1"/>
  <c r="K133" i="59" a="1"/>
  <c r="G109" i="59" a="1"/>
  <c r="K24" i="59" a="1"/>
  <c r="K27" i="59" a="1"/>
  <c r="J185" i="59" a="1"/>
  <c r="G231" i="59" a="1"/>
  <c r="K159" i="59" a="1"/>
  <c r="J201" i="59" a="1"/>
  <c r="M198" i="59" a="1"/>
  <c r="H252" i="59" a="1"/>
  <c r="G199" i="59" a="1"/>
  <c r="H162" i="59" a="1"/>
  <c r="G21" i="59" a="1"/>
  <c r="N131" i="59" a="1"/>
  <c r="N249" i="59" a="1"/>
  <c r="G133" i="59" a="1"/>
  <c r="M48" i="59" a="1"/>
  <c r="L229" i="59" a="1"/>
  <c r="K175" i="59" a="1"/>
  <c r="N108" i="59" a="1"/>
  <c r="K30" i="59" a="1"/>
  <c r="H216" i="59" a="1"/>
  <c r="L267" i="59" a="1"/>
  <c r="J264" i="59" a="1"/>
  <c r="N65" i="59" a="1"/>
  <c r="M66" i="59" a="1"/>
  <c r="H193" i="59" a="1"/>
  <c r="L86" i="59" a="1"/>
  <c r="N152" i="59" a="1"/>
  <c r="M217" i="59" a="1"/>
  <c r="J249" i="59" a="1"/>
  <c r="L167" i="59" a="1"/>
  <c r="L22" i="59" a="1"/>
  <c r="J41" i="59" a="1"/>
  <c r="K259" i="59" a="1"/>
  <c r="L247" i="59" a="1"/>
  <c r="J107" i="59" a="1"/>
  <c r="G153" i="59" a="1"/>
  <c r="K65" i="59" a="1"/>
  <c r="K32" i="59" a="1"/>
  <c r="N134" i="59" a="1"/>
  <c r="I116" i="59" a="1"/>
  <c r="M174" i="59" a="1"/>
  <c r="M224" i="59" a="1"/>
  <c r="M240" i="59" a="1"/>
  <c r="N48" i="59" a="1"/>
  <c r="L80" i="59" a="1"/>
  <c r="M227" i="59" a="1"/>
  <c r="L62" i="59" a="1"/>
  <c r="K103" i="59" a="1"/>
  <c r="J256" i="59" a="1"/>
  <c r="N229" i="59" a="1"/>
  <c r="L11" i="59" a="1"/>
  <c r="G38" i="59" a="1"/>
  <c r="M271" i="59" a="1"/>
  <c r="K161" i="59" a="1"/>
  <c r="G15" i="59" a="1"/>
  <c r="L47" i="59" a="1"/>
  <c r="K130" i="59" a="1"/>
  <c r="M32" i="59" a="1"/>
  <c r="M171" i="59" a="1"/>
  <c r="G205" i="59" a="1"/>
  <c r="H143" i="59" a="1"/>
  <c r="H151" i="59" a="1"/>
  <c r="J202" i="59" a="1"/>
  <c r="G14" i="59" a="1"/>
  <c r="J173" i="59" a="1"/>
  <c r="G168" i="59" a="1"/>
  <c r="I134" i="59" a="1"/>
  <c r="M263" i="59" a="1"/>
  <c r="M216" i="59" a="1"/>
  <c r="L202" i="59" a="1"/>
  <c r="J88" i="59" a="1"/>
  <c r="K76" i="59" a="1"/>
  <c r="M75" i="59" a="1"/>
  <c r="L25" i="59" a="1"/>
  <c r="K251" i="59" a="1"/>
  <c r="G18" i="59" a="1"/>
  <c r="H7" i="59" a="1"/>
  <c r="L88" i="59" a="1"/>
  <c r="N15" i="59" a="1"/>
  <c r="L191" i="59" a="1"/>
  <c r="M197" i="59" a="1"/>
  <c r="G272" i="59" a="1"/>
  <c r="N31" i="59" a="1"/>
  <c r="G262" i="59" a="1"/>
  <c r="I202" i="59" a="1"/>
  <c r="K89" i="59" a="1"/>
  <c r="I206" i="59" a="1"/>
  <c r="M46" i="59" a="1"/>
  <c r="I208" i="59" a="1"/>
  <c r="G139" i="59" a="1"/>
  <c r="H245" i="59" a="1"/>
  <c r="N179" i="59" a="1"/>
  <c r="J129" i="59" a="1"/>
  <c r="H228" i="59" a="1"/>
  <c r="H239" i="59" a="1"/>
  <c r="J221" i="59" a="1"/>
  <c r="N166" i="59" a="1"/>
  <c r="G165" i="59" a="1"/>
  <c r="G214" i="59" a="1"/>
  <c r="L148" i="59" a="1"/>
  <c r="M26" i="59" a="1"/>
  <c r="L146" i="59" a="1"/>
  <c r="K135" i="59" a="1"/>
  <c r="G118" i="59" a="1"/>
  <c r="H226" i="59" a="1"/>
  <c r="J194" i="59" a="1"/>
  <c r="L112" i="59" a="1"/>
  <c r="G132" i="59" a="1"/>
  <c r="H60" i="59" a="1"/>
  <c r="I89" i="59" a="1"/>
  <c r="K15" i="59" a="1"/>
  <c r="L263" i="59" a="1"/>
  <c r="K178" i="59" a="1"/>
  <c r="I136" i="59" a="1"/>
  <c r="L4" i="59" a="1"/>
  <c r="G90" i="59" a="1"/>
  <c r="H110" i="59" a="1"/>
  <c r="I261" i="59" a="1"/>
  <c r="J226" i="59" a="1"/>
  <c r="H19" i="59" a="1"/>
  <c r="L16" i="59" a="1"/>
  <c r="H17" i="59" a="1"/>
  <c r="K6" i="59" a="1"/>
  <c r="M264" i="59" a="1"/>
  <c r="G40" i="59" a="1"/>
  <c r="G213" i="59" a="1"/>
  <c r="L29" i="59" a="1"/>
  <c r="N49" i="59" a="1"/>
  <c r="N21" i="59" a="1"/>
  <c r="J148" i="59" a="1"/>
  <c r="H78" i="59" a="1"/>
  <c r="H254" i="59" a="1"/>
  <c r="N213" i="59" a="1"/>
  <c r="L175" i="59" a="1"/>
  <c r="G260" i="59" a="1"/>
  <c r="N248" i="59" a="1"/>
  <c r="J6" i="59" a="1"/>
  <c r="I153" i="59" a="1"/>
  <c r="K211" i="59" a="1"/>
  <c r="H97" i="59" a="1"/>
  <c r="H142" i="59" a="1"/>
  <c r="N232" i="59" a="1"/>
  <c r="M193" i="59" a="1"/>
  <c r="G229" i="59" a="1"/>
  <c r="N76" i="59" a="1"/>
  <c r="G59" i="59" a="1"/>
  <c r="H256" i="59" a="1"/>
  <c r="L147" i="59" a="1"/>
  <c r="J14" i="59" a="1"/>
  <c r="I13" i="59" a="1"/>
  <c r="J105" i="59" a="1"/>
  <c r="L14" i="59" a="1"/>
  <c r="K252" i="59" a="1"/>
  <c r="I53" i="59" a="1"/>
  <c r="L158" i="59" a="1"/>
  <c r="H250" i="59" a="1"/>
  <c r="I196" i="59" a="1"/>
  <c r="M210" i="59" a="1"/>
  <c r="H51" i="59" a="1"/>
  <c r="G245" i="59" a="1"/>
  <c r="I258" i="59" a="1"/>
  <c r="H21" i="59" a="1"/>
  <c r="N20" i="59" a="1"/>
  <c r="H154" i="59" a="1"/>
  <c r="M33" i="59" a="1"/>
  <c r="K75" i="59" a="1"/>
  <c r="K142" i="59" a="1"/>
  <c r="N16" i="59" a="1"/>
  <c r="L130" i="59" a="1"/>
  <c r="K4" i="59" a="1"/>
  <c r="K173" i="59" a="1"/>
  <c r="G26" i="59" a="1"/>
  <c r="J45" i="59" a="1"/>
  <c r="L114" i="59" a="1"/>
  <c r="H33" i="59" a="1"/>
  <c r="L56" i="59" a="1"/>
  <c r="K18" i="59" a="1"/>
  <c r="G160" i="59" a="1"/>
  <c r="H41" i="59" a="1"/>
  <c r="L136" i="59" a="1"/>
  <c r="H269" i="59" a="1"/>
  <c r="N150" i="59" a="1"/>
  <c r="K98" i="59" a="1"/>
  <c r="G176" i="59" a="1"/>
  <c r="G69" i="59" a="1"/>
  <c r="L49" i="59" a="1"/>
  <c r="N170" i="59" a="1"/>
  <c r="N164" i="59" a="1"/>
  <c r="N107" i="59" a="1"/>
  <c r="H104" i="59" a="1"/>
  <c r="K220" i="59" a="1"/>
  <c r="H189" i="59" a="1"/>
  <c r="L82" i="59" a="1"/>
  <c r="N188" i="59" a="1"/>
  <c r="N196" i="59" a="1"/>
  <c r="I158" i="59" a="1"/>
  <c r="J171" i="59" a="1"/>
  <c r="G57" i="59" a="1"/>
  <c r="I24" i="59" a="1"/>
  <c r="M47" i="59" a="1"/>
  <c r="M272" i="59" a="1"/>
  <c r="N257" i="59" a="1"/>
  <c r="M234" i="59" a="1"/>
  <c r="M245" i="59" a="1"/>
  <c r="J3" i="59" a="1"/>
  <c r="L100" i="59" a="1"/>
  <c r="M206" i="59" a="1"/>
  <c r="H176" i="59" a="1"/>
  <c r="J227" i="59" a="1"/>
  <c r="H83" i="59" a="1"/>
  <c r="M111" i="59" a="1"/>
  <c r="L242" i="59" a="1"/>
  <c r="M247" i="59" a="1"/>
  <c r="I114" i="59" a="1"/>
  <c r="J174" i="59" a="1"/>
  <c r="G98" i="59" a="1"/>
  <c r="H94" i="59" a="1"/>
  <c r="K71" i="59" a="1"/>
  <c r="G223" i="59" a="1"/>
  <c r="G91" i="59" a="1"/>
  <c r="N9" i="59" a="1"/>
  <c r="L248" i="59" a="1"/>
  <c r="M5" i="59" a="1"/>
  <c r="N111" i="59" a="1"/>
  <c r="L226" i="59" a="1"/>
  <c r="G96" i="59" a="1"/>
  <c r="K151" i="59" a="1"/>
  <c r="L262" i="59" a="1"/>
  <c r="N36" i="59" a="1"/>
  <c r="L160" i="59" a="1"/>
  <c r="L215" i="59" a="1"/>
  <c r="I86" i="59" a="1"/>
  <c r="M79" i="59" a="1"/>
  <c r="M100" i="59" a="1"/>
  <c r="H122" i="59" a="1"/>
  <c r="I88" i="59" a="1"/>
  <c r="H212" i="59" a="1"/>
  <c r="N160" i="59" a="1"/>
  <c r="G194" i="59" a="1"/>
  <c r="L227" i="59" a="1"/>
  <c r="H22" i="59" a="1"/>
  <c r="K84" i="59" a="1"/>
  <c r="M207" i="59" a="1"/>
  <c r="L169" i="59" a="1"/>
  <c r="L78" i="59" a="1"/>
  <c r="L234" i="59" a="1"/>
  <c r="I190" i="59" a="1"/>
  <c r="K197" i="59" a="1"/>
  <c r="G202" i="59" a="1"/>
  <c r="G4" i="59" a="1"/>
  <c r="J135" i="59" a="1"/>
  <c r="G166" i="59" a="1"/>
  <c r="G254" i="59" a="1"/>
  <c r="G149" i="59" a="1"/>
  <c r="G131" i="59" a="1"/>
  <c r="I147" i="59" a="1"/>
  <c r="I110" i="59" a="1"/>
  <c r="I35" i="59" a="1"/>
  <c r="J116" i="59" a="1"/>
  <c r="K121" i="59" a="1"/>
  <c r="K112" i="59" a="1"/>
  <c r="N258" i="59" a="1"/>
  <c r="H79" i="59" a="1"/>
  <c r="J52" i="59" a="1"/>
  <c r="L141" i="59" a="1"/>
  <c r="J143" i="59" a="1"/>
  <c r="H124" i="59" a="1"/>
  <c r="M61" i="59" a="1"/>
  <c r="K190" i="59" a="1"/>
  <c r="N241" i="59" a="1"/>
  <c r="N117" i="59" a="1"/>
  <c r="H37" i="59" a="1"/>
  <c r="I37" i="59" a="1"/>
  <c r="G257" i="59" a="1"/>
  <c r="N158" i="59" a="1"/>
  <c r="N155" i="59" a="1"/>
  <c r="M29" i="59" a="1"/>
  <c r="H91" i="59" a="1"/>
  <c r="J223" i="59" a="1"/>
  <c r="G155" i="59" a="1"/>
  <c r="N110" i="59" a="1"/>
  <c r="N128" i="59" a="1"/>
  <c r="I175" i="59" a="1"/>
  <c r="K101" i="59" a="1"/>
  <c r="I269" i="59" a="1"/>
  <c r="N46" i="59" a="1"/>
  <c r="J159" i="59" a="1"/>
  <c r="M159" i="59" a="1"/>
  <c r="G17" i="59" a="1"/>
  <c r="N227" i="59" a="1"/>
  <c r="M87" i="59" a="1"/>
  <c r="N54" i="59" a="1"/>
  <c r="G11" i="59" a="1"/>
  <c r="K99" i="59" a="1"/>
  <c r="L76" i="59" a="1"/>
  <c r="K180" i="59" a="1"/>
  <c r="J165" i="59" a="1"/>
  <c r="M81" i="59" a="1"/>
  <c r="J172" i="59" a="1"/>
  <c r="I49" i="59" a="1"/>
  <c r="M7" i="59" a="1"/>
  <c r="G13" i="59" a="1"/>
  <c r="N202" i="59" a="1"/>
  <c r="H118" i="59" a="1"/>
  <c r="L174" i="59" a="1"/>
  <c r="G267" i="59" a="1"/>
  <c r="N85" i="59" a="1"/>
  <c r="K250" i="59" a="1"/>
  <c r="J44" i="59" a="1"/>
  <c r="M71" i="59" a="1"/>
  <c r="K9" i="59" a="1"/>
  <c r="L187" i="59" a="1"/>
  <c r="K36" i="59" a="1"/>
  <c r="J178" i="59" a="1"/>
  <c r="L207" i="59" a="1"/>
  <c r="K147" i="59" a="1"/>
  <c r="G172" i="59" a="1"/>
  <c r="M60" i="59" a="1"/>
  <c r="M45" i="59" a="1"/>
  <c r="J115" i="59" a="1"/>
  <c r="K237" i="59" a="1"/>
  <c r="L65" i="59" a="1"/>
  <c r="H135" i="59" a="1"/>
  <c r="J272" i="59" a="1"/>
  <c r="L172" i="59" a="1"/>
  <c r="J64" i="59" a="1"/>
  <c r="N63" i="59" a="1"/>
  <c r="N169" i="59" a="1"/>
  <c r="M68" i="59" a="1"/>
  <c r="I240" i="59" a="1"/>
  <c r="N42" i="59" a="1"/>
  <c r="H219" i="59" a="1"/>
  <c r="N272" i="59" a="1"/>
  <c r="K128" i="59" a="1"/>
  <c r="G62" i="59" a="1"/>
  <c r="L249" i="59" a="1"/>
  <c r="H49" i="59" a="1"/>
  <c r="K68" i="59" a="1"/>
  <c r="H194" i="59" a="1"/>
  <c r="J229" i="59" a="1"/>
  <c r="K254" i="59" a="1"/>
  <c r="G196" i="59" a="1"/>
  <c r="N211" i="59" a="1"/>
  <c r="H220" i="59" a="1"/>
  <c r="M144" i="59" a="1"/>
  <c r="N183" i="59" a="1"/>
  <c r="L244" i="59" a="1"/>
  <c r="J13" i="59" a="1"/>
  <c r="K59" i="59" a="1"/>
  <c r="H43" i="59" a="1"/>
  <c r="L119" i="59" a="1"/>
  <c r="L79" i="59" a="1"/>
  <c r="G19" i="59" a="1"/>
  <c r="N18" i="59" a="1"/>
  <c r="M51" i="59" a="1"/>
  <c r="J112" i="59" a="1"/>
  <c r="I131" i="59" a="1"/>
  <c r="H249" i="59" a="1"/>
  <c r="M140" i="59" a="1"/>
  <c r="N214" i="59" a="1"/>
  <c r="G193" i="59" a="1"/>
  <c r="L75" i="59" a="1"/>
  <c r="L252" i="59" a="1"/>
  <c r="G113" i="59" a="1"/>
  <c r="K144" i="59" a="1"/>
  <c r="K223" i="59" a="1"/>
  <c r="H20" i="59" a="1"/>
  <c r="M118" i="59" a="1"/>
  <c r="I167" i="59" a="1"/>
  <c r="G35" i="59" a="1"/>
  <c r="M252" i="59" a="1"/>
  <c r="J34" i="59" a="1"/>
  <c r="M267" i="59" a="1"/>
  <c r="G261" i="59" a="1"/>
  <c r="M112" i="59" a="1"/>
  <c r="M269" i="59" a="1"/>
  <c r="I260" i="59" a="1"/>
  <c r="J106" i="59" a="1"/>
  <c r="N259" i="59" a="1"/>
  <c r="H217" i="59" a="1"/>
  <c r="N127" i="59" a="1"/>
  <c r="H57" i="59" a="1"/>
  <c r="N55" i="59" a="1"/>
  <c r="H156" i="59" a="1"/>
  <c r="N139" i="59" a="1"/>
  <c r="I170" i="59" a="1"/>
  <c r="K125" i="59" a="1"/>
  <c r="G102" i="59" a="1"/>
  <c r="N256" i="59" a="1"/>
  <c r="I82" i="59" a="1"/>
  <c r="M17" i="59" a="1"/>
  <c r="N129" i="59" a="1"/>
  <c r="J87" i="59" a="1"/>
  <c r="G232" i="59" a="1"/>
  <c r="G135" i="59" a="1"/>
  <c r="L217" i="59" a="1"/>
  <c r="N240" i="59" a="1"/>
  <c r="M35" i="59" a="1"/>
  <c r="J100" i="59" a="1"/>
  <c r="I48" i="59" a="1"/>
  <c r="H214" i="59" a="1"/>
  <c r="L20" i="59" a="1"/>
  <c r="G66" i="59" a="1"/>
  <c r="M179" i="59" a="1"/>
  <c r="J245" i="59" a="1"/>
  <c r="H99" i="59" a="1"/>
  <c r="H100" i="59" a="1"/>
  <c r="H114" i="59" a="1"/>
  <c r="N112" i="59" a="1"/>
  <c r="H5" i="59" a="1"/>
  <c r="J231" i="59" a="1"/>
  <c r="M211" i="59" a="1"/>
  <c r="H31" i="59" a="1"/>
  <c r="N68" i="59" a="1"/>
  <c r="L68" i="59" a="1"/>
  <c r="M149" i="59" a="1"/>
  <c r="G226" i="59" a="1"/>
  <c r="L118" i="59" a="1"/>
  <c r="H71" i="59" a="1"/>
  <c r="G141" i="59" a="1"/>
  <c r="H18" i="59" a="1"/>
  <c r="J63" i="59" a="1"/>
  <c r="G152" i="59" a="1"/>
  <c r="L203" i="59" a="1"/>
  <c r="H171" i="59" a="1"/>
  <c r="M243" i="59" a="1"/>
  <c r="L18" i="59" a="1"/>
  <c r="L271" i="59" a="1"/>
  <c r="G94" i="59" a="1"/>
  <c r="G37" i="59" a="1"/>
  <c r="H109" i="59" a="1"/>
  <c r="I109" i="59" a="1"/>
  <c r="H84" i="59" a="1"/>
  <c r="I113" i="59" a="1"/>
  <c r="J258" i="59" a="1"/>
  <c r="G159" i="59" a="1"/>
  <c r="G74" i="59" a="1"/>
  <c r="N24" i="59" a="1"/>
  <c r="I127" i="59" a="1"/>
  <c r="M142" i="59" a="1"/>
  <c r="L37" i="59" a="1"/>
  <c r="M50" i="59" l="1"/>
  <c r="H123" i="59"/>
  <c r="M213" i="59"/>
  <c r="I229" i="59"/>
  <c r="L104" i="59"/>
  <c r="L56" i="59"/>
  <c r="J44" i="59"/>
  <c r="G66" i="59"/>
  <c r="M171" i="59"/>
  <c r="N151" i="59"/>
  <c r="K16" i="59"/>
  <c r="J198" i="59"/>
  <c r="K234" i="59"/>
  <c r="I68" i="59"/>
  <c r="J35" i="59"/>
  <c r="K49" i="59"/>
  <c r="N51" i="59"/>
  <c r="M35" i="59"/>
  <c r="K254" i="59"/>
  <c r="J229" i="59"/>
  <c r="J105" i="59"/>
  <c r="K130" i="59"/>
  <c r="H170" i="59"/>
  <c r="I217" i="59"/>
  <c r="N154" i="59"/>
  <c r="J250" i="59"/>
  <c r="M162" i="59"/>
  <c r="M27" i="59"/>
  <c r="K53" i="59"/>
  <c r="M269" i="59"/>
  <c r="N272" i="59"/>
  <c r="L160" i="59"/>
  <c r="H58" i="59"/>
  <c r="M76" i="59"/>
  <c r="H209" i="59"/>
  <c r="I80" i="59"/>
  <c r="I169" i="59"/>
  <c r="I198" i="59"/>
  <c r="G45" i="59"/>
  <c r="G180" i="59"/>
  <c r="M160" i="59"/>
  <c r="L141" i="59"/>
  <c r="K121" i="59"/>
  <c r="I24" i="59"/>
  <c r="I13" i="59"/>
  <c r="L47" i="59"/>
  <c r="M133" i="59"/>
  <c r="K172" i="59"/>
  <c r="G239" i="59"/>
  <c r="N53" i="59"/>
  <c r="J91" i="59"/>
  <c r="N67" i="59"/>
  <c r="J90" i="59"/>
  <c r="H33" i="59"/>
  <c r="H100" i="59"/>
  <c r="N111" i="59"/>
  <c r="M32" i="59"/>
  <c r="K165" i="59"/>
  <c r="I256" i="59"/>
  <c r="H195" i="59"/>
  <c r="G161" i="59"/>
  <c r="I8" i="59"/>
  <c r="J86" i="59"/>
  <c r="I20" i="59"/>
  <c r="L39" i="59"/>
  <c r="G91" i="59"/>
  <c r="J87" i="59"/>
  <c r="N129" i="59"/>
  <c r="J14" i="59"/>
  <c r="L186" i="59"/>
  <c r="L101" i="59"/>
  <c r="M246" i="59"/>
  <c r="J72" i="59"/>
  <c r="G169" i="59"/>
  <c r="M258" i="59"/>
  <c r="L237" i="59"/>
  <c r="H263" i="59"/>
  <c r="M112" i="59"/>
  <c r="H219" i="59"/>
  <c r="N241" i="59"/>
  <c r="I67" i="59"/>
  <c r="G15" i="59"/>
  <c r="G87" i="59"/>
  <c r="M170" i="59"/>
  <c r="K176" i="59"/>
  <c r="G222" i="59"/>
  <c r="N98" i="59"/>
  <c r="N267" i="59"/>
  <c r="N161" i="59"/>
  <c r="H176" i="59"/>
  <c r="J116" i="59"/>
  <c r="G57" i="59"/>
  <c r="L147" i="59"/>
  <c r="N19" i="59"/>
  <c r="L225" i="59"/>
  <c r="I268" i="59"/>
  <c r="L245" i="59"/>
  <c r="N200" i="59"/>
  <c r="L42" i="59"/>
  <c r="L102" i="59"/>
  <c r="J259" i="59"/>
  <c r="L114" i="59"/>
  <c r="H5" i="59"/>
  <c r="K59" i="59"/>
  <c r="H256" i="59"/>
  <c r="J110" i="59"/>
  <c r="K31" i="59"/>
  <c r="J42" i="59"/>
  <c r="K74" i="59"/>
  <c r="H8" i="59"/>
  <c r="H136" i="59"/>
  <c r="N52" i="59"/>
  <c r="L250" i="59"/>
  <c r="M144" i="59"/>
  <c r="I109" i="59"/>
  <c r="H194" i="59"/>
  <c r="G59" i="59"/>
  <c r="K161" i="59"/>
  <c r="G65" i="59"/>
  <c r="L164" i="59"/>
  <c r="G216" i="59"/>
  <c r="K94" i="59"/>
  <c r="K209" i="59"/>
  <c r="M117" i="59"/>
  <c r="N168" i="59"/>
  <c r="G261" i="59"/>
  <c r="N42" i="59"/>
  <c r="L174" i="59"/>
  <c r="N76" i="59"/>
  <c r="K5" i="59"/>
  <c r="J138" i="59"/>
  <c r="J18" i="59"/>
  <c r="H178" i="59"/>
  <c r="K169" i="59"/>
  <c r="I253" i="59"/>
  <c r="L45" i="59"/>
  <c r="M102" i="59"/>
  <c r="J52" i="59"/>
  <c r="I35" i="59"/>
  <c r="J171" i="59"/>
  <c r="G229" i="59"/>
  <c r="H38" i="59"/>
  <c r="H112" i="59"/>
  <c r="J16" i="59"/>
  <c r="L54" i="59"/>
  <c r="H68" i="59"/>
  <c r="L138" i="59"/>
  <c r="H26" i="59"/>
  <c r="H260" i="59"/>
  <c r="J45" i="59"/>
  <c r="L37" i="59"/>
  <c r="N24" i="59"/>
  <c r="M193" i="59"/>
  <c r="M271" i="59"/>
  <c r="L91" i="59"/>
  <c r="G106" i="59"/>
  <c r="L96" i="59"/>
  <c r="I220" i="59"/>
  <c r="H161" i="59"/>
  <c r="K227" i="59"/>
  <c r="J40" i="59"/>
  <c r="G257" i="59"/>
  <c r="H109" i="59"/>
  <c r="M17" i="59"/>
  <c r="N232" i="59"/>
  <c r="N175" i="59"/>
  <c r="N162" i="59"/>
  <c r="I4" i="59"/>
  <c r="I96" i="59"/>
  <c r="K67" i="59"/>
  <c r="M84" i="59"/>
  <c r="I236" i="59"/>
  <c r="N207" i="59"/>
  <c r="M267" i="59"/>
  <c r="I240" i="59"/>
  <c r="I114" i="59"/>
  <c r="H142" i="59"/>
  <c r="G38" i="59"/>
  <c r="G9" i="59"/>
  <c r="J251" i="59"/>
  <c r="M182" i="59"/>
  <c r="G28" i="59"/>
  <c r="M184" i="59"/>
  <c r="K260" i="59"/>
  <c r="M52" i="59"/>
  <c r="M206" i="59"/>
  <c r="I110" i="59"/>
  <c r="I158" i="59"/>
  <c r="H97" i="59"/>
  <c r="H139" i="59"/>
  <c r="H272" i="59"/>
  <c r="K39" i="59"/>
  <c r="L27" i="59"/>
  <c r="I45" i="59"/>
  <c r="H129" i="59"/>
  <c r="L135" i="59"/>
  <c r="K224" i="59"/>
  <c r="G26" i="59"/>
  <c r="L79" i="59"/>
  <c r="M29" i="59"/>
  <c r="K211" i="59"/>
  <c r="L11" i="59"/>
  <c r="M127" i="59"/>
  <c r="I55" i="59"/>
  <c r="M126" i="59"/>
  <c r="G207" i="59"/>
  <c r="N250" i="59"/>
  <c r="H152" i="59"/>
  <c r="I76" i="59"/>
  <c r="J258" i="59"/>
  <c r="G37" i="59"/>
  <c r="I82" i="59"/>
  <c r="I153" i="59"/>
  <c r="J149" i="59"/>
  <c r="I115" i="59"/>
  <c r="I143" i="59"/>
  <c r="I2" i="59"/>
  <c r="H169" i="59"/>
  <c r="J211" i="59"/>
  <c r="K215" i="59"/>
  <c r="J225" i="59"/>
  <c r="J34" i="59"/>
  <c r="M68" i="59"/>
  <c r="K190" i="59"/>
  <c r="J6" i="59"/>
  <c r="N229" i="59"/>
  <c r="J183" i="59"/>
  <c r="N198" i="59"/>
  <c r="N189" i="59"/>
  <c r="K164" i="59"/>
  <c r="H248" i="59"/>
  <c r="N217" i="59"/>
  <c r="L115" i="59"/>
  <c r="L100" i="59"/>
  <c r="I147" i="59"/>
  <c r="N196" i="59"/>
  <c r="N248" i="59"/>
  <c r="M96" i="59"/>
  <c r="G122" i="59"/>
  <c r="H233" i="59"/>
  <c r="J210" i="59"/>
  <c r="N197" i="59"/>
  <c r="H251" i="59"/>
  <c r="M24" i="59"/>
  <c r="G171" i="59"/>
  <c r="K173" i="59"/>
  <c r="I88" i="59"/>
  <c r="L20" i="59"/>
  <c r="G260" i="59"/>
  <c r="J256" i="59"/>
  <c r="J222" i="59"/>
  <c r="J241" i="59"/>
  <c r="M202" i="59"/>
  <c r="M200" i="59"/>
  <c r="G36" i="59"/>
  <c r="J139" i="59"/>
  <c r="L106" i="59"/>
  <c r="N240" i="59"/>
  <c r="G94" i="59"/>
  <c r="K68" i="59"/>
  <c r="L175" i="59"/>
  <c r="L116" i="59"/>
  <c r="G259" i="59"/>
  <c r="L134" i="59"/>
  <c r="G48" i="59"/>
  <c r="M99" i="59"/>
  <c r="M74" i="59"/>
  <c r="M44" i="59"/>
  <c r="K207" i="59"/>
  <c r="M252" i="59"/>
  <c r="N169" i="59"/>
  <c r="M247" i="59"/>
  <c r="N213" i="59"/>
  <c r="K103" i="59"/>
  <c r="I192" i="59"/>
  <c r="K21" i="59"/>
  <c r="K191" i="59"/>
  <c r="L197" i="59"/>
  <c r="N95" i="59"/>
  <c r="I128" i="59"/>
  <c r="H89" i="59"/>
  <c r="H79" i="59"/>
  <c r="G131" i="59"/>
  <c r="N188" i="59"/>
  <c r="H254" i="59"/>
  <c r="N17" i="59"/>
  <c r="K80" i="59"/>
  <c r="I250" i="59"/>
  <c r="G228" i="59"/>
  <c r="J269" i="59"/>
  <c r="H93" i="59"/>
  <c r="H191" i="59"/>
  <c r="G77" i="59"/>
  <c r="K4" i="59"/>
  <c r="K151" i="59"/>
  <c r="G11" i="59"/>
  <c r="H78" i="59"/>
  <c r="L62" i="59"/>
  <c r="J246" i="59"/>
  <c r="G88" i="59"/>
  <c r="M201" i="59"/>
  <c r="J32" i="59"/>
  <c r="H240" i="59"/>
  <c r="J160" i="59"/>
  <c r="N146" i="59"/>
  <c r="G223" i="59"/>
  <c r="L271" i="59"/>
  <c r="H114" i="59"/>
  <c r="J148" i="59"/>
  <c r="K62" i="59"/>
  <c r="G12" i="59"/>
  <c r="H192" i="59"/>
  <c r="L149" i="59"/>
  <c r="I91" i="59"/>
  <c r="K33" i="59"/>
  <c r="J67" i="59"/>
  <c r="L97" i="59"/>
  <c r="G35" i="59"/>
  <c r="N63" i="59"/>
  <c r="L242" i="59"/>
  <c r="N21" i="59"/>
  <c r="M227" i="59"/>
  <c r="J31" i="59"/>
  <c r="G42" i="59"/>
  <c r="M255" i="59"/>
  <c r="L15" i="59"/>
  <c r="G145" i="59"/>
  <c r="H125" i="59"/>
  <c r="N195" i="59"/>
  <c r="J3" i="59"/>
  <c r="G149" i="59"/>
  <c r="L82" i="59"/>
  <c r="N49" i="59"/>
  <c r="N204" i="59"/>
  <c r="K111" i="59"/>
  <c r="L177" i="59"/>
  <c r="L219" i="59"/>
  <c r="H85" i="59"/>
  <c r="L258" i="59"/>
  <c r="M116" i="59"/>
  <c r="L251" i="59"/>
  <c r="L130" i="59"/>
  <c r="H99" i="59"/>
  <c r="M79" i="59"/>
  <c r="L29" i="59"/>
  <c r="L80" i="59"/>
  <c r="H96" i="59"/>
  <c r="N243" i="59"/>
  <c r="M150" i="59"/>
  <c r="K13" i="59"/>
  <c r="J20" i="59"/>
  <c r="K139" i="59"/>
  <c r="I174" i="59"/>
  <c r="H220" i="59"/>
  <c r="L18" i="59"/>
  <c r="N256" i="59"/>
  <c r="G213" i="59"/>
  <c r="H165" i="59"/>
  <c r="M64" i="59"/>
  <c r="N187" i="59"/>
  <c r="H74" i="59"/>
  <c r="G46" i="59"/>
  <c r="L264" i="59"/>
  <c r="K42" i="59"/>
  <c r="M239" i="59"/>
  <c r="I167" i="59"/>
  <c r="J64" i="59"/>
  <c r="M61" i="59"/>
  <c r="G40" i="59"/>
  <c r="N48" i="59"/>
  <c r="J224" i="59"/>
  <c r="L210" i="59"/>
  <c r="L268" i="59"/>
  <c r="L161" i="59"/>
  <c r="H222" i="59"/>
  <c r="G95" i="59"/>
  <c r="I61" i="59"/>
  <c r="G17" i="59"/>
  <c r="G254" i="59"/>
  <c r="H189" i="59"/>
  <c r="M264" i="59"/>
  <c r="M240" i="59"/>
  <c r="N192" i="59"/>
  <c r="N35" i="59"/>
  <c r="K114" i="59"/>
  <c r="N57" i="59"/>
  <c r="N33" i="59"/>
  <c r="L157" i="59"/>
  <c r="J186" i="59"/>
  <c r="N16" i="59"/>
  <c r="L76" i="59"/>
  <c r="M5" i="59"/>
  <c r="K6" i="59"/>
  <c r="M224" i="59"/>
  <c r="N70" i="59"/>
  <c r="K269" i="59"/>
  <c r="I183" i="59"/>
  <c r="I52" i="59"/>
  <c r="G263" i="59"/>
  <c r="N265" i="59"/>
  <c r="I112" i="59"/>
  <c r="I37" i="59"/>
  <c r="M243" i="59"/>
  <c r="H49" i="59"/>
  <c r="H17" i="59"/>
  <c r="M174" i="59"/>
  <c r="H267" i="59"/>
  <c r="N34" i="59"/>
  <c r="I264" i="59"/>
  <c r="N10" i="59"/>
  <c r="K174" i="59"/>
  <c r="H45" i="59"/>
  <c r="N99" i="59"/>
  <c r="M118" i="59"/>
  <c r="L172" i="59"/>
  <c r="N227" i="59"/>
  <c r="L16" i="59"/>
  <c r="M55" i="59"/>
  <c r="K100" i="59"/>
  <c r="K82" i="59"/>
  <c r="J239" i="59"/>
  <c r="G103" i="59"/>
  <c r="J8" i="59"/>
  <c r="N199" i="59"/>
  <c r="J53" i="59"/>
  <c r="M245" i="59"/>
  <c r="G166" i="59"/>
  <c r="K220" i="59"/>
  <c r="H19" i="59"/>
  <c r="I116" i="59"/>
  <c r="L55" i="59"/>
  <c r="G251" i="59"/>
  <c r="H75" i="59"/>
  <c r="H158" i="59"/>
  <c r="L70" i="59"/>
  <c r="L201" i="59"/>
  <c r="I28" i="59"/>
  <c r="K142" i="59"/>
  <c r="J223" i="59"/>
  <c r="G267" i="59"/>
  <c r="J226" i="59"/>
  <c r="N134" i="59"/>
  <c r="L241" i="59"/>
  <c r="M238" i="59"/>
  <c r="G126" i="59"/>
  <c r="I139" i="59"/>
  <c r="M253" i="59"/>
  <c r="H166" i="59"/>
  <c r="N238" i="59"/>
  <c r="L215" i="59"/>
  <c r="H171" i="59"/>
  <c r="G102" i="59"/>
  <c r="I261" i="59"/>
  <c r="K32" i="59"/>
  <c r="M124" i="59"/>
  <c r="M169" i="59"/>
  <c r="G156" i="59"/>
  <c r="G187" i="59"/>
  <c r="N29" i="59"/>
  <c r="J252" i="59"/>
  <c r="N141" i="59"/>
  <c r="H20" i="59"/>
  <c r="J272" i="59"/>
  <c r="M111" i="59"/>
  <c r="H110" i="59"/>
  <c r="K65" i="59"/>
  <c r="K56" i="59"/>
  <c r="G224" i="59"/>
  <c r="N271" i="59"/>
  <c r="J191" i="59"/>
  <c r="I111" i="59"/>
  <c r="N251" i="59"/>
  <c r="G127" i="59"/>
  <c r="N258" i="59"/>
  <c r="J135" i="59"/>
  <c r="H104" i="59"/>
  <c r="G90" i="59"/>
  <c r="G153" i="59"/>
  <c r="M9" i="59"/>
  <c r="N237" i="59"/>
  <c r="L32" i="59"/>
  <c r="G79" i="59"/>
  <c r="J59" i="59"/>
  <c r="L131" i="59"/>
  <c r="G246" i="59"/>
  <c r="K75" i="59"/>
  <c r="K250" i="59"/>
  <c r="J13" i="59"/>
  <c r="L4" i="59"/>
  <c r="J107" i="59"/>
  <c r="K96" i="59"/>
  <c r="I135" i="59"/>
  <c r="I108" i="59"/>
  <c r="L239" i="59"/>
  <c r="I95" i="59"/>
  <c r="L143" i="59"/>
  <c r="L8" i="59"/>
  <c r="K71" i="59"/>
  <c r="L203" i="59"/>
  <c r="L249" i="59"/>
  <c r="I136" i="59"/>
  <c r="L247" i="59"/>
  <c r="M49" i="59"/>
  <c r="J265" i="59"/>
  <c r="H200" i="59"/>
  <c r="L30" i="59"/>
  <c r="I272" i="59"/>
  <c r="G116" i="59"/>
  <c r="N145" i="59"/>
  <c r="K223" i="59"/>
  <c r="H135" i="59"/>
  <c r="H124" i="59"/>
  <c r="K178" i="59"/>
  <c r="K259" i="59"/>
  <c r="J71" i="59"/>
  <c r="M185" i="59"/>
  <c r="L178" i="59"/>
  <c r="N203" i="59"/>
  <c r="M228" i="59"/>
  <c r="L60" i="59"/>
  <c r="G190" i="59"/>
  <c r="M234" i="59"/>
  <c r="G4" i="59"/>
  <c r="N107" i="59"/>
  <c r="L263" i="59"/>
  <c r="J41" i="59"/>
  <c r="J65" i="59"/>
  <c r="G104" i="59"/>
  <c r="H244" i="59"/>
  <c r="L260" i="59"/>
  <c r="N23" i="59"/>
  <c r="H92" i="59"/>
  <c r="K198" i="59"/>
  <c r="M33" i="59"/>
  <c r="M142" i="59"/>
  <c r="H214" i="59"/>
  <c r="K15" i="59"/>
  <c r="L22" i="59"/>
  <c r="J23" i="59"/>
  <c r="K43" i="59"/>
  <c r="L95" i="59"/>
  <c r="H116" i="59"/>
  <c r="I69" i="59"/>
  <c r="N210" i="59"/>
  <c r="I257" i="59"/>
  <c r="L217" i="59"/>
  <c r="G152" i="59"/>
  <c r="K125" i="59"/>
  <c r="I89" i="59"/>
  <c r="L167" i="59"/>
  <c r="K26" i="59"/>
  <c r="I218" i="59"/>
  <c r="J213" i="59"/>
  <c r="I224" i="59"/>
  <c r="H271" i="59"/>
  <c r="M248" i="59"/>
  <c r="M4" i="59"/>
  <c r="K144" i="59"/>
  <c r="L65" i="59"/>
  <c r="H83" i="59"/>
  <c r="H60" i="59"/>
  <c r="J249" i="59"/>
  <c r="L13" i="59"/>
  <c r="K109" i="59"/>
  <c r="I271" i="59"/>
  <c r="K22" i="59"/>
  <c r="K35" i="59"/>
  <c r="K110" i="59"/>
  <c r="H67" i="59"/>
  <c r="N257" i="59"/>
  <c r="G202" i="59"/>
  <c r="N164" i="59"/>
  <c r="G132" i="59"/>
  <c r="M217" i="59"/>
  <c r="H55" i="59"/>
  <c r="N173" i="59"/>
  <c r="K166" i="59"/>
  <c r="M175" i="59"/>
  <c r="M196" i="59"/>
  <c r="M204" i="59"/>
  <c r="K38" i="59"/>
  <c r="H154" i="59"/>
  <c r="H122" i="59"/>
  <c r="G74" i="59"/>
  <c r="L112" i="59"/>
  <c r="N152" i="59"/>
  <c r="K213" i="59"/>
  <c r="N59" i="59"/>
  <c r="G215" i="59"/>
  <c r="I165" i="59"/>
  <c r="I121" i="59"/>
  <c r="J208" i="59"/>
  <c r="G125" i="59"/>
  <c r="I113" i="59"/>
  <c r="J63" i="59"/>
  <c r="I170" i="59"/>
  <c r="J194" i="59"/>
  <c r="L86" i="59"/>
  <c r="I129" i="59"/>
  <c r="N174" i="59"/>
  <c r="G148" i="59"/>
  <c r="L10" i="59"/>
  <c r="K63" i="59"/>
  <c r="G71" i="59"/>
  <c r="H47" i="59"/>
  <c r="G113" i="59"/>
  <c r="K237" i="59"/>
  <c r="H118" i="59"/>
  <c r="H226" i="59"/>
  <c r="H193" i="59"/>
  <c r="N119" i="59"/>
  <c r="K124" i="59"/>
  <c r="J219" i="59"/>
  <c r="M21" i="59"/>
  <c r="J236" i="59"/>
  <c r="H213" i="59"/>
  <c r="J55" i="59"/>
  <c r="M272" i="59"/>
  <c r="K197" i="59"/>
  <c r="N170" i="59"/>
  <c r="G118" i="59"/>
  <c r="M66" i="59"/>
  <c r="I120" i="59"/>
  <c r="N255" i="59"/>
  <c r="I57" i="59"/>
  <c r="J114" i="59"/>
  <c r="K163" i="59"/>
  <c r="N30" i="59"/>
  <c r="M178" i="59"/>
  <c r="N20" i="59"/>
  <c r="L119" i="59"/>
  <c r="N155" i="59"/>
  <c r="K135" i="59"/>
  <c r="G154" i="59"/>
  <c r="N65" i="59"/>
  <c r="N103" i="59"/>
  <c r="K239" i="59"/>
  <c r="I71" i="59"/>
  <c r="H62" i="59"/>
  <c r="K160" i="59"/>
  <c r="H150" i="59"/>
  <c r="K186" i="59"/>
  <c r="M6" i="59"/>
  <c r="N211" i="59"/>
  <c r="H18" i="59"/>
  <c r="G134" i="59"/>
  <c r="G62" i="59"/>
  <c r="L103" i="59"/>
  <c r="L146" i="59"/>
  <c r="J264" i="59"/>
  <c r="K118" i="59"/>
  <c r="H24" i="59"/>
  <c r="G100" i="59"/>
  <c r="K44" i="59"/>
  <c r="H86" i="59"/>
  <c r="J235" i="59"/>
  <c r="I23" i="59"/>
  <c r="J218" i="59"/>
  <c r="L252" i="59"/>
  <c r="H132" i="59"/>
  <c r="J115" i="59"/>
  <c r="J98" i="59"/>
  <c r="N36" i="59"/>
  <c r="J142" i="59"/>
  <c r="M233" i="59"/>
  <c r="M26" i="59"/>
  <c r="L267" i="59"/>
  <c r="L90" i="59"/>
  <c r="N130" i="59"/>
  <c r="H159" i="59"/>
  <c r="J180" i="59"/>
  <c r="J206" i="59"/>
  <c r="L150" i="59"/>
  <c r="M11" i="59"/>
  <c r="L236" i="59"/>
  <c r="H230" i="59"/>
  <c r="N234" i="59"/>
  <c r="I124" i="59"/>
  <c r="M231" i="59"/>
  <c r="I197" i="59"/>
  <c r="M159" i="59"/>
  <c r="L221" i="59"/>
  <c r="G151" i="59"/>
  <c r="L126" i="59"/>
  <c r="I190" i="59"/>
  <c r="I70" i="59"/>
  <c r="L49" i="59"/>
  <c r="N178" i="59"/>
  <c r="I173" i="59"/>
  <c r="L148" i="59"/>
  <c r="H216" i="59"/>
  <c r="L43" i="59"/>
  <c r="N100" i="59"/>
  <c r="H146" i="59"/>
  <c r="K105" i="59"/>
  <c r="J237" i="59"/>
  <c r="N82" i="59"/>
  <c r="M265" i="59"/>
  <c r="H145" i="59"/>
  <c r="M110" i="59"/>
  <c r="K10" i="59"/>
  <c r="L243" i="59"/>
  <c r="H211" i="59"/>
  <c r="I5" i="59"/>
  <c r="H21" i="59"/>
  <c r="H215" i="59"/>
  <c r="M103" i="59"/>
  <c r="J248" i="59"/>
  <c r="G96" i="59"/>
  <c r="K143" i="59"/>
  <c r="L248" i="59"/>
  <c r="H54" i="59"/>
  <c r="G130" i="59"/>
  <c r="G214" i="59"/>
  <c r="K30" i="59"/>
  <c r="G3" i="59"/>
  <c r="N172" i="59"/>
  <c r="G183" i="59"/>
  <c r="I79" i="59"/>
  <c r="M34" i="59"/>
  <c r="M154" i="59"/>
  <c r="L253" i="59"/>
  <c r="K91" i="59"/>
  <c r="K134" i="59"/>
  <c r="I118" i="59"/>
  <c r="N135" i="59"/>
  <c r="M220" i="59"/>
  <c r="G8" i="59"/>
  <c r="L185" i="59"/>
  <c r="G54" i="59"/>
  <c r="H153" i="59"/>
  <c r="G29" i="59"/>
  <c r="G167" i="59"/>
  <c r="I145" i="59"/>
  <c r="H206" i="59"/>
  <c r="L171" i="59"/>
  <c r="M155" i="59"/>
  <c r="N266" i="59"/>
  <c r="G135" i="59"/>
  <c r="G141" i="59"/>
  <c r="N139" i="59"/>
  <c r="I133" i="59"/>
  <c r="J220" i="59"/>
  <c r="J203" i="59"/>
  <c r="G208" i="59"/>
  <c r="I189" i="59"/>
  <c r="N122" i="59"/>
  <c r="J261" i="59"/>
  <c r="H203" i="59"/>
  <c r="G165" i="59"/>
  <c r="N108" i="59"/>
  <c r="J17" i="59"/>
  <c r="K108" i="59"/>
  <c r="L98" i="59"/>
  <c r="L224" i="59"/>
  <c r="L105" i="59"/>
  <c r="K146" i="59"/>
  <c r="K179" i="59"/>
  <c r="I75" i="59"/>
  <c r="H117" i="59"/>
  <c r="L182" i="59"/>
  <c r="M134" i="59"/>
  <c r="K228" i="59"/>
  <c r="I203" i="59"/>
  <c r="N245" i="59"/>
  <c r="G164" i="59"/>
  <c r="M18" i="59"/>
  <c r="J124" i="59"/>
  <c r="I81" i="59"/>
  <c r="L26" i="59"/>
  <c r="K218" i="59"/>
  <c r="L122" i="59"/>
  <c r="G110" i="59"/>
  <c r="M191" i="59"/>
  <c r="L75" i="59"/>
  <c r="M45" i="59"/>
  <c r="J143" i="59"/>
  <c r="M141" i="59"/>
  <c r="J217" i="59"/>
  <c r="H237" i="59"/>
  <c r="J60" i="59"/>
  <c r="I98" i="59"/>
  <c r="K87" i="59"/>
  <c r="K242" i="59"/>
  <c r="I152" i="59"/>
  <c r="N166" i="59"/>
  <c r="K175" i="59"/>
  <c r="M208" i="59"/>
  <c r="J150" i="59"/>
  <c r="I21" i="59"/>
  <c r="N167" i="59"/>
  <c r="N41" i="59"/>
  <c r="N223" i="59"/>
  <c r="G221" i="59"/>
  <c r="J187" i="59"/>
  <c r="H82" i="59"/>
  <c r="K244" i="59"/>
  <c r="N190" i="59"/>
  <c r="G241" i="59"/>
  <c r="G140" i="59"/>
  <c r="H4" i="59"/>
  <c r="G200" i="59"/>
  <c r="K193" i="59"/>
  <c r="N113" i="59"/>
  <c r="K119" i="59"/>
  <c r="H147" i="59"/>
  <c r="I18" i="59"/>
  <c r="G97" i="59"/>
  <c r="H77" i="59"/>
  <c r="H126" i="59"/>
  <c r="K112" i="59"/>
  <c r="L234" i="59"/>
  <c r="G69" i="59"/>
  <c r="J93" i="59"/>
  <c r="K201" i="59"/>
  <c r="G203" i="59"/>
  <c r="J68" i="59"/>
  <c r="H11" i="59"/>
  <c r="G120" i="59"/>
  <c r="L33" i="59"/>
  <c r="K217" i="59"/>
  <c r="J221" i="59"/>
  <c r="L229" i="59"/>
  <c r="N247" i="59"/>
  <c r="I245" i="59"/>
  <c r="M23" i="59"/>
  <c r="G252" i="59"/>
  <c r="G218" i="59"/>
  <c r="J216" i="59"/>
  <c r="G108" i="59"/>
  <c r="J83" i="59"/>
  <c r="G128" i="59"/>
  <c r="H102" i="59"/>
  <c r="K189" i="59"/>
  <c r="G123" i="59"/>
  <c r="L265" i="59"/>
  <c r="L162" i="59"/>
  <c r="I62" i="59"/>
  <c r="N144" i="59"/>
  <c r="M262" i="59"/>
  <c r="M41" i="59"/>
  <c r="N101" i="59"/>
  <c r="L71" i="59"/>
  <c r="K148" i="59"/>
  <c r="N220" i="59"/>
  <c r="M165" i="59"/>
  <c r="I258" i="59"/>
  <c r="J245" i="59"/>
  <c r="L244" i="59"/>
  <c r="M257" i="59"/>
  <c r="N94" i="59"/>
  <c r="J193" i="59"/>
  <c r="L120" i="59"/>
  <c r="G93" i="59"/>
  <c r="M38" i="59"/>
  <c r="H247" i="59"/>
  <c r="G50" i="59"/>
  <c r="H239" i="59"/>
  <c r="M48" i="59"/>
  <c r="M88" i="59"/>
  <c r="L220" i="59"/>
  <c r="H182" i="59"/>
  <c r="N269" i="59"/>
  <c r="L113" i="59"/>
  <c r="L129" i="59"/>
  <c r="I249" i="59"/>
  <c r="L214" i="59"/>
  <c r="K196" i="59"/>
  <c r="K7" i="59"/>
  <c r="N91" i="59"/>
  <c r="G174" i="59"/>
  <c r="N39" i="59"/>
  <c r="H184" i="59"/>
  <c r="N253" i="59"/>
  <c r="L5" i="59"/>
  <c r="H238" i="59"/>
  <c r="H108" i="59"/>
  <c r="J111" i="59"/>
  <c r="L255" i="59"/>
  <c r="H63" i="59"/>
  <c r="J4" i="59"/>
  <c r="H197" i="59"/>
  <c r="H94" i="59"/>
  <c r="H71" i="59"/>
  <c r="H156" i="59"/>
  <c r="G53" i="59"/>
  <c r="J29" i="59"/>
  <c r="G248" i="59"/>
  <c r="L12" i="59"/>
  <c r="L64" i="59"/>
  <c r="I83" i="59"/>
  <c r="G192" i="59"/>
  <c r="K199" i="59"/>
  <c r="H228" i="59"/>
  <c r="G133" i="59"/>
  <c r="I132" i="59"/>
  <c r="M31" i="59"/>
  <c r="I65" i="59"/>
  <c r="M156" i="59"/>
  <c r="H72" i="59"/>
  <c r="N116" i="59"/>
  <c r="G227" i="59"/>
  <c r="N191" i="59"/>
  <c r="G219" i="59"/>
  <c r="L170" i="59"/>
  <c r="H257" i="59"/>
  <c r="G101" i="59"/>
  <c r="N114" i="59"/>
  <c r="G64" i="59"/>
  <c r="G256" i="59"/>
  <c r="I193" i="59"/>
  <c r="I247" i="59"/>
  <c r="H138" i="59"/>
  <c r="J122" i="59"/>
  <c r="I259" i="59"/>
  <c r="I9" i="59"/>
  <c r="I144" i="59"/>
  <c r="L83" i="59"/>
  <c r="G193" i="59"/>
  <c r="M60" i="59"/>
  <c r="J227" i="59"/>
  <c r="J123" i="59"/>
  <c r="G86" i="59"/>
  <c r="I130" i="59"/>
  <c r="J126" i="59"/>
  <c r="N233" i="59"/>
  <c r="J38" i="59"/>
  <c r="I161" i="59"/>
  <c r="J176" i="59"/>
  <c r="J129" i="59"/>
  <c r="N249" i="59"/>
  <c r="H32" i="59"/>
  <c r="H61" i="59"/>
  <c r="L38" i="59"/>
  <c r="K97" i="59"/>
  <c r="G217" i="59"/>
  <c r="L21" i="59"/>
  <c r="M256" i="59"/>
  <c r="L199" i="59"/>
  <c r="M176" i="59"/>
  <c r="G47" i="59"/>
  <c r="N90" i="59"/>
  <c r="G52" i="59"/>
  <c r="M145" i="59"/>
  <c r="L124" i="59"/>
  <c r="I200" i="59"/>
  <c r="M122" i="59"/>
  <c r="H130" i="59"/>
  <c r="N11" i="59"/>
  <c r="M218" i="59"/>
  <c r="M83" i="59"/>
  <c r="M177" i="59"/>
  <c r="H27" i="59"/>
  <c r="I176" i="59"/>
  <c r="M47" i="59"/>
  <c r="L78" i="59"/>
  <c r="L262" i="59"/>
  <c r="G70" i="59"/>
  <c r="N86" i="59"/>
  <c r="J85" i="59"/>
  <c r="H177" i="59"/>
  <c r="I171" i="59"/>
  <c r="L184" i="59"/>
  <c r="I160" i="59"/>
  <c r="K47" i="59"/>
  <c r="N179" i="59"/>
  <c r="N131" i="59"/>
  <c r="I179" i="59"/>
  <c r="L266" i="59"/>
  <c r="J232" i="59"/>
  <c r="M223" i="59"/>
  <c r="G23" i="59"/>
  <c r="I178" i="59"/>
  <c r="K37" i="59"/>
  <c r="N44" i="59"/>
  <c r="H10" i="59"/>
  <c r="I252" i="59"/>
  <c r="H16" i="59"/>
  <c r="N186" i="59"/>
  <c r="H188" i="59"/>
  <c r="L155" i="59"/>
  <c r="J146" i="59"/>
  <c r="N37" i="59"/>
  <c r="J254" i="59"/>
  <c r="K253" i="59"/>
  <c r="I242" i="59"/>
  <c r="G266" i="59"/>
  <c r="K52" i="59"/>
  <c r="I209" i="59"/>
  <c r="L166" i="59"/>
  <c r="G245" i="59"/>
  <c r="M100" i="59"/>
  <c r="I48" i="59"/>
  <c r="L24" i="59"/>
  <c r="N206" i="59"/>
  <c r="M139" i="59"/>
  <c r="I246" i="59"/>
  <c r="K14" i="59"/>
  <c r="J199" i="59"/>
  <c r="I74" i="59"/>
  <c r="M37" i="59"/>
  <c r="H245" i="59"/>
  <c r="G21" i="59"/>
  <c r="G234" i="59"/>
  <c r="G271" i="59"/>
  <c r="K107" i="59"/>
  <c r="K23" i="59"/>
  <c r="H52" i="59"/>
  <c r="L99" i="59"/>
  <c r="G75" i="59"/>
  <c r="H196" i="59"/>
  <c r="H205" i="59"/>
  <c r="N201" i="59"/>
  <c r="I140" i="59"/>
  <c r="M153" i="59"/>
  <c r="M72" i="59"/>
  <c r="G83" i="59"/>
  <c r="G212" i="59"/>
  <c r="H232" i="59"/>
  <c r="L51" i="59"/>
  <c r="G63" i="59"/>
  <c r="J75" i="59"/>
  <c r="I172" i="59"/>
  <c r="G175" i="59"/>
  <c r="M152" i="59"/>
  <c r="K90" i="59"/>
  <c r="H37" i="59"/>
  <c r="L118" i="59"/>
  <c r="N55" i="59"/>
  <c r="I228" i="59"/>
  <c r="M136" i="59"/>
  <c r="G136" i="59"/>
  <c r="I270" i="59"/>
  <c r="N180" i="59"/>
  <c r="I38" i="59"/>
  <c r="M121" i="59"/>
  <c r="I262" i="59"/>
  <c r="G139" i="59"/>
  <c r="H162" i="59"/>
  <c r="I30" i="59"/>
  <c r="G2" i="59"/>
  <c r="K194" i="59"/>
  <c r="M54" i="59"/>
  <c r="G7" i="59"/>
  <c r="N225" i="59"/>
  <c r="N43" i="59"/>
  <c r="K61" i="59"/>
  <c r="L50" i="59"/>
  <c r="H168" i="59"/>
  <c r="M266" i="59"/>
  <c r="J33" i="59"/>
  <c r="I222" i="59"/>
  <c r="K268" i="59"/>
  <c r="K137" i="59"/>
  <c r="K145" i="59"/>
  <c r="K256" i="59"/>
  <c r="M123" i="59"/>
  <c r="K126" i="59"/>
  <c r="J158" i="59"/>
  <c r="I12" i="59"/>
  <c r="J27" i="59"/>
  <c r="N133" i="59"/>
  <c r="N214" i="59"/>
  <c r="G172" i="59"/>
  <c r="N202" i="59"/>
  <c r="J151" i="59"/>
  <c r="K45" i="59"/>
  <c r="I191" i="59"/>
  <c r="L200" i="59"/>
  <c r="N270" i="59"/>
  <c r="L205" i="59"/>
  <c r="N120" i="59"/>
  <c r="H36" i="59"/>
  <c r="I208" i="59"/>
  <c r="G199" i="59"/>
  <c r="I155" i="59"/>
  <c r="L153" i="59"/>
  <c r="N205" i="59"/>
  <c r="G32" i="59"/>
  <c r="N88" i="59"/>
  <c r="K210" i="59"/>
  <c r="K192" i="59"/>
  <c r="L74" i="59"/>
  <c r="G146" i="59"/>
  <c r="K46" i="59"/>
  <c r="H157" i="59"/>
  <c r="H131" i="59"/>
  <c r="J161" i="59"/>
  <c r="J164" i="59"/>
  <c r="J268" i="59"/>
  <c r="G250" i="59"/>
  <c r="H268" i="59"/>
  <c r="I188" i="59"/>
  <c r="I267" i="59"/>
  <c r="H208" i="59"/>
  <c r="K168" i="59"/>
  <c r="H253" i="59"/>
  <c r="K230" i="59"/>
  <c r="J159" i="59"/>
  <c r="L169" i="59"/>
  <c r="G176" i="59"/>
  <c r="L111" i="59"/>
  <c r="J192" i="59"/>
  <c r="I201" i="59"/>
  <c r="K235" i="59"/>
  <c r="J2" i="59"/>
  <c r="N268" i="59"/>
  <c r="J118" i="59"/>
  <c r="N147" i="59"/>
  <c r="M46" i="59"/>
  <c r="H252" i="59"/>
  <c r="M186" i="59"/>
  <c r="N32" i="59"/>
  <c r="K85" i="59"/>
  <c r="G237" i="59"/>
  <c r="K158" i="59"/>
  <c r="N5" i="59"/>
  <c r="L9" i="59"/>
  <c r="H39" i="59"/>
  <c r="I211" i="59"/>
  <c r="G58" i="59"/>
  <c r="G220" i="59"/>
  <c r="N263" i="59"/>
  <c r="J207" i="59"/>
  <c r="H235" i="59"/>
  <c r="N157" i="59"/>
  <c r="K236" i="59"/>
  <c r="H164" i="59"/>
  <c r="J169" i="59"/>
  <c r="H50" i="59"/>
  <c r="L128" i="59"/>
  <c r="K83" i="59"/>
  <c r="M232" i="59"/>
  <c r="J152" i="59"/>
  <c r="H51" i="59"/>
  <c r="I127" i="59"/>
  <c r="N54" i="59"/>
  <c r="H66" i="59"/>
  <c r="H202" i="59"/>
  <c r="G258" i="59"/>
  <c r="I34" i="59"/>
  <c r="N118" i="59"/>
  <c r="L163" i="59"/>
  <c r="I27" i="59"/>
  <c r="G147" i="59"/>
  <c r="I206" i="59"/>
  <c r="M198" i="59"/>
  <c r="G242" i="59"/>
  <c r="H105" i="59"/>
  <c r="I50" i="59"/>
  <c r="H134" i="59"/>
  <c r="I194" i="59"/>
  <c r="N96" i="59"/>
  <c r="K40" i="59"/>
  <c r="L240" i="59"/>
  <c r="H90" i="59"/>
  <c r="L235" i="59"/>
  <c r="H120" i="59"/>
  <c r="N64" i="59"/>
  <c r="G16" i="59"/>
  <c r="M237" i="59"/>
  <c r="N87" i="59"/>
  <c r="K106" i="59"/>
  <c r="G85" i="59"/>
  <c r="M108" i="59"/>
  <c r="J22" i="59"/>
  <c r="G76" i="59"/>
  <c r="M77" i="59"/>
  <c r="K29" i="59"/>
  <c r="M119" i="59"/>
  <c r="G98" i="59"/>
  <c r="G226" i="59"/>
  <c r="H57" i="59"/>
  <c r="N109" i="59"/>
  <c r="K58" i="59"/>
  <c r="M242" i="59"/>
  <c r="G230" i="59"/>
  <c r="H137" i="59"/>
  <c r="J70" i="59"/>
  <c r="G268" i="59"/>
  <c r="G198" i="59"/>
  <c r="K89" i="59"/>
  <c r="J201" i="59"/>
  <c r="G269" i="59"/>
  <c r="L192" i="59"/>
  <c r="I233" i="59"/>
  <c r="I6" i="59"/>
  <c r="I163" i="59"/>
  <c r="L117" i="59"/>
  <c r="J205" i="59"/>
  <c r="G39" i="59"/>
  <c r="G163" i="59"/>
  <c r="K88" i="59"/>
  <c r="G162" i="59"/>
  <c r="L132" i="59"/>
  <c r="L173" i="59"/>
  <c r="L59" i="59"/>
  <c r="I58" i="59"/>
  <c r="I214" i="59"/>
  <c r="L110" i="59"/>
  <c r="M205" i="59"/>
  <c r="I42" i="59"/>
  <c r="K86" i="59"/>
  <c r="L48" i="59"/>
  <c r="L212" i="59"/>
  <c r="I101" i="59"/>
  <c r="M140" i="59"/>
  <c r="K147" i="59"/>
  <c r="G13" i="59"/>
  <c r="N140" i="59"/>
  <c r="K116" i="59"/>
  <c r="L92" i="59"/>
  <c r="J200" i="59"/>
  <c r="K272" i="59"/>
  <c r="K264" i="59"/>
  <c r="L35" i="59"/>
  <c r="L211" i="59"/>
  <c r="I202" i="59"/>
  <c r="K159" i="59"/>
  <c r="K120" i="59"/>
  <c r="K184" i="59"/>
  <c r="M212" i="59"/>
  <c r="M168" i="59"/>
  <c r="K155" i="59"/>
  <c r="I103" i="59"/>
  <c r="I230" i="59"/>
  <c r="N28" i="59"/>
  <c r="L2" i="59"/>
  <c r="H119" i="59"/>
  <c r="I254" i="59"/>
  <c r="G81" i="59"/>
  <c r="G117" i="59"/>
  <c r="M125" i="59"/>
  <c r="G236" i="59"/>
  <c r="I182" i="59"/>
  <c r="I78" i="59"/>
  <c r="N104" i="59"/>
  <c r="I51" i="59"/>
  <c r="L17" i="59"/>
  <c r="J94" i="59"/>
  <c r="J155" i="59"/>
  <c r="G253" i="59"/>
  <c r="N46" i="59"/>
  <c r="M207" i="59"/>
  <c r="K98" i="59"/>
  <c r="I184" i="59"/>
  <c r="N26" i="59"/>
  <c r="I232" i="59"/>
  <c r="L142" i="59"/>
  <c r="M10" i="59"/>
  <c r="M131" i="59"/>
  <c r="H229" i="59"/>
  <c r="K248" i="59"/>
  <c r="G262" i="59"/>
  <c r="G231" i="59"/>
  <c r="M251" i="59"/>
  <c r="G244" i="59"/>
  <c r="H23" i="59"/>
  <c r="K115" i="59"/>
  <c r="I40" i="59"/>
  <c r="H223" i="59"/>
  <c r="L196" i="59"/>
  <c r="H88" i="59"/>
  <c r="I32" i="59"/>
  <c r="L165" i="59"/>
  <c r="I243" i="59"/>
  <c r="M94" i="59"/>
  <c r="I219" i="59"/>
  <c r="K57" i="59"/>
  <c r="L140" i="59"/>
  <c r="K249" i="59"/>
  <c r="N142" i="59"/>
  <c r="I241" i="59"/>
  <c r="G177" i="59"/>
  <c r="K64" i="59"/>
  <c r="I207" i="59"/>
  <c r="N252" i="59"/>
  <c r="J156" i="59"/>
  <c r="M210" i="59"/>
  <c r="N112" i="59"/>
  <c r="I86" i="59"/>
  <c r="I162" i="59"/>
  <c r="K204" i="59"/>
  <c r="N74" i="59"/>
  <c r="K136" i="59"/>
  <c r="H266" i="59"/>
  <c r="J215" i="59"/>
  <c r="K3" i="59"/>
  <c r="M101" i="59"/>
  <c r="N31" i="59"/>
  <c r="J185" i="59"/>
  <c r="N143" i="59"/>
  <c r="H121" i="59"/>
  <c r="H59" i="59"/>
  <c r="G150" i="59"/>
  <c r="N115" i="59"/>
  <c r="M82" i="59"/>
  <c r="K122" i="59"/>
  <c r="M16" i="59"/>
  <c r="K50" i="59"/>
  <c r="K60" i="59"/>
  <c r="M135" i="59"/>
  <c r="M14" i="59"/>
  <c r="L208" i="59"/>
  <c r="I244" i="59"/>
  <c r="J61" i="59"/>
  <c r="L209" i="59"/>
  <c r="J247" i="59"/>
  <c r="J136" i="59"/>
  <c r="H3" i="59"/>
  <c r="L259" i="59"/>
  <c r="H111" i="59"/>
  <c r="L180" i="59"/>
  <c r="L156" i="59"/>
  <c r="G232" i="59"/>
  <c r="M149" i="59"/>
  <c r="N127" i="59"/>
  <c r="L231" i="59"/>
  <c r="N14" i="59"/>
  <c r="J140" i="59"/>
  <c r="L34" i="59"/>
  <c r="L193" i="59"/>
  <c r="J99" i="59"/>
  <c r="J51" i="59"/>
  <c r="N27" i="59"/>
  <c r="G272" i="59"/>
  <c r="K27" i="59"/>
  <c r="H144" i="59"/>
  <c r="L168" i="59"/>
  <c r="K131" i="59"/>
  <c r="I223" i="59"/>
  <c r="K140" i="59"/>
  <c r="J177" i="59"/>
  <c r="L52" i="59"/>
  <c r="H218" i="59"/>
  <c r="M62" i="59"/>
  <c r="H259" i="59"/>
  <c r="I154" i="59"/>
  <c r="L85" i="59"/>
  <c r="M104" i="59"/>
  <c r="N75" i="59"/>
  <c r="K226" i="59"/>
  <c r="K267" i="59"/>
  <c r="I16" i="59"/>
  <c r="L72" i="59"/>
  <c r="H236" i="59"/>
  <c r="I251" i="59"/>
  <c r="J137" i="59"/>
  <c r="K200" i="59"/>
  <c r="M260" i="59"/>
  <c r="H249" i="59"/>
  <c r="L207" i="59"/>
  <c r="M7" i="59"/>
  <c r="H70" i="59"/>
  <c r="H115" i="59"/>
  <c r="M120" i="59"/>
  <c r="G270" i="59"/>
  <c r="I44" i="59"/>
  <c r="J212" i="59"/>
  <c r="J131" i="59"/>
  <c r="H106" i="59"/>
  <c r="M197" i="59"/>
  <c r="K24" i="59"/>
  <c r="J253" i="59"/>
  <c r="M106" i="59"/>
  <c r="N193" i="59"/>
  <c r="I237" i="59"/>
  <c r="K17" i="59"/>
  <c r="N218" i="59"/>
  <c r="J133" i="59"/>
  <c r="N71" i="59"/>
  <c r="L109" i="59"/>
  <c r="M143" i="59"/>
  <c r="G233" i="59"/>
  <c r="M199" i="59"/>
  <c r="K102" i="59"/>
  <c r="M236" i="59"/>
  <c r="L66" i="59"/>
  <c r="I92" i="59"/>
  <c r="G178" i="59"/>
  <c r="G99" i="59"/>
  <c r="I22" i="59"/>
  <c r="N38" i="59"/>
  <c r="I234" i="59"/>
  <c r="N79" i="59"/>
  <c r="H224" i="59"/>
  <c r="I269" i="59"/>
  <c r="K84" i="59"/>
  <c r="N150" i="59"/>
  <c r="M128" i="59"/>
  <c r="G56" i="59"/>
  <c r="K241" i="59"/>
  <c r="H207" i="59"/>
  <c r="K78" i="59"/>
  <c r="M188" i="59"/>
  <c r="N171" i="59"/>
  <c r="N126" i="59"/>
  <c r="L191" i="59"/>
  <c r="G109" i="59"/>
  <c r="H69" i="59"/>
  <c r="I15" i="59"/>
  <c r="L36" i="59"/>
  <c r="J77" i="59"/>
  <c r="K231" i="59"/>
  <c r="M57" i="59"/>
  <c r="J49" i="59"/>
  <c r="K127" i="59"/>
  <c r="J48" i="59"/>
  <c r="G115" i="59"/>
  <c r="H15" i="59"/>
  <c r="L84" i="59"/>
  <c r="G51" i="59"/>
  <c r="M85" i="59"/>
  <c r="H185" i="59"/>
  <c r="H9" i="59"/>
  <c r="J260" i="59"/>
  <c r="N224" i="59"/>
  <c r="L254" i="59"/>
  <c r="G121" i="59"/>
  <c r="L77" i="59"/>
  <c r="N93" i="59"/>
  <c r="K247" i="59"/>
  <c r="I196" i="59"/>
  <c r="H43" i="59"/>
  <c r="N183" i="59"/>
  <c r="H174" i="59"/>
  <c r="L63" i="59"/>
  <c r="I221" i="59"/>
  <c r="G209" i="59"/>
  <c r="H221" i="59"/>
  <c r="N66" i="59"/>
  <c r="J121" i="59"/>
  <c r="G197" i="59"/>
  <c r="N15" i="59"/>
  <c r="K133" i="59"/>
  <c r="L145" i="59"/>
  <c r="N4" i="59"/>
  <c r="G78" i="59"/>
  <c r="I77" i="59"/>
  <c r="I150" i="59"/>
  <c r="I85" i="59"/>
  <c r="J195" i="59"/>
  <c r="L123" i="59"/>
  <c r="N264" i="59"/>
  <c r="K171" i="59"/>
  <c r="M56" i="59"/>
  <c r="G43" i="59"/>
  <c r="M158" i="59"/>
  <c r="K208" i="59"/>
  <c r="K25" i="59"/>
  <c r="K152" i="59"/>
  <c r="M3" i="59"/>
  <c r="H81" i="59"/>
  <c r="I225" i="59"/>
  <c r="G68" i="59"/>
  <c r="J214" i="59"/>
  <c r="N246" i="59"/>
  <c r="M109" i="59"/>
  <c r="M87" i="59"/>
  <c r="L68" i="59"/>
  <c r="K128" i="59"/>
  <c r="N105" i="59"/>
  <c r="M40" i="59"/>
  <c r="L176" i="59"/>
  <c r="M183" i="59"/>
  <c r="K221" i="59"/>
  <c r="L46" i="59"/>
  <c r="H227" i="59"/>
  <c r="K41" i="59"/>
  <c r="L88" i="59"/>
  <c r="I180" i="59"/>
  <c r="K240" i="59"/>
  <c r="G255" i="59"/>
  <c r="J262" i="59"/>
  <c r="M147" i="59"/>
  <c r="H262" i="59"/>
  <c r="N182" i="59"/>
  <c r="I212" i="59"/>
  <c r="I141" i="59"/>
  <c r="G137" i="59"/>
  <c r="H25" i="59"/>
  <c r="H128" i="59"/>
  <c r="J46" i="59"/>
  <c r="N239" i="59"/>
  <c r="L108" i="59"/>
  <c r="H140" i="59"/>
  <c r="N235" i="59"/>
  <c r="J127" i="59"/>
  <c r="K202" i="59"/>
  <c r="J243" i="59"/>
  <c r="J154" i="59"/>
  <c r="J39" i="59"/>
  <c r="M187" i="59"/>
  <c r="G61" i="59"/>
  <c r="I131" i="59"/>
  <c r="J178" i="59"/>
  <c r="I49" i="59"/>
  <c r="I210" i="59"/>
  <c r="N231" i="59"/>
  <c r="N244" i="59"/>
  <c r="J7" i="59"/>
  <c r="K8" i="59"/>
  <c r="M146" i="59"/>
  <c r="G44" i="59"/>
  <c r="N242" i="59"/>
  <c r="H7" i="59"/>
  <c r="I185" i="59"/>
  <c r="J11" i="59"/>
  <c r="K222" i="59"/>
  <c r="J190" i="59"/>
  <c r="H179" i="59"/>
  <c r="N72" i="59"/>
  <c r="G182" i="59"/>
  <c r="L133" i="59"/>
  <c r="J92" i="59"/>
  <c r="J204" i="59"/>
  <c r="H42" i="59"/>
  <c r="G138" i="59"/>
  <c r="K182" i="59"/>
  <c r="I213" i="59"/>
  <c r="M241" i="59"/>
  <c r="L87" i="59"/>
  <c r="H186" i="59"/>
  <c r="J234" i="59"/>
  <c r="M222" i="59"/>
  <c r="N148" i="59"/>
  <c r="L195" i="59"/>
  <c r="G179" i="59"/>
  <c r="N236" i="59"/>
  <c r="G238" i="59"/>
  <c r="K101" i="59"/>
  <c r="H22" i="59"/>
  <c r="H269" i="59"/>
  <c r="K150" i="59"/>
  <c r="I60" i="59"/>
  <c r="K70" i="59"/>
  <c r="L89" i="59"/>
  <c r="N212" i="59"/>
  <c r="J153" i="59"/>
  <c r="J184" i="59"/>
  <c r="J101" i="59"/>
  <c r="G18" i="59"/>
  <c r="G89" i="59"/>
  <c r="I215" i="59"/>
  <c r="M91" i="59"/>
  <c r="G41" i="59"/>
  <c r="I205" i="59"/>
  <c r="M63" i="59"/>
  <c r="K66" i="59"/>
  <c r="M115" i="59"/>
  <c r="J189" i="59"/>
  <c r="K225" i="59"/>
  <c r="I148" i="59"/>
  <c r="I10" i="59"/>
  <c r="M86" i="59"/>
  <c r="J81" i="59"/>
  <c r="G124" i="59"/>
  <c r="J238" i="59"/>
  <c r="K113" i="59"/>
  <c r="I66" i="59"/>
  <c r="H204" i="59"/>
  <c r="L58" i="59"/>
  <c r="L270" i="59"/>
  <c r="J9" i="59"/>
  <c r="K51" i="59"/>
  <c r="N176" i="59"/>
  <c r="H250" i="59"/>
  <c r="M179" i="59"/>
  <c r="N158" i="59"/>
  <c r="K123" i="59"/>
  <c r="M28" i="59"/>
  <c r="K195" i="59"/>
  <c r="N215" i="59"/>
  <c r="N45" i="59"/>
  <c r="J62" i="59"/>
  <c r="M67" i="59"/>
  <c r="H183" i="59"/>
  <c r="K251" i="59"/>
  <c r="G49" i="59"/>
  <c r="G170" i="59"/>
  <c r="L93" i="59"/>
  <c r="M226" i="59"/>
  <c r="L31" i="59"/>
  <c r="J162" i="59"/>
  <c r="I94" i="59"/>
  <c r="J96" i="59"/>
  <c r="L23" i="59"/>
  <c r="J80" i="59"/>
  <c r="K271" i="59"/>
  <c r="N219" i="59"/>
  <c r="I3" i="59"/>
  <c r="N80" i="59"/>
  <c r="H64" i="59"/>
  <c r="L228" i="59"/>
  <c r="L44" i="59"/>
  <c r="H127" i="59"/>
  <c r="J244" i="59"/>
  <c r="N260" i="59"/>
  <c r="I29" i="59"/>
  <c r="N137" i="59"/>
  <c r="K177" i="59"/>
  <c r="G24" i="59"/>
  <c r="N117" i="59"/>
  <c r="N68" i="59"/>
  <c r="H217" i="59"/>
  <c r="L233" i="59"/>
  <c r="I138" i="59"/>
  <c r="G186" i="59"/>
  <c r="J74" i="59"/>
  <c r="M173" i="59"/>
  <c r="N177" i="59"/>
  <c r="G5" i="59"/>
  <c r="K261" i="59"/>
  <c r="L25" i="59"/>
  <c r="J82" i="59"/>
  <c r="H56" i="59"/>
  <c r="N184" i="59"/>
  <c r="I117" i="59"/>
  <c r="M192" i="59"/>
  <c r="I187" i="59"/>
  <c r="N149" i="59"/>
  <c r="H40" i="59"/>
  <c r="H199" i="59"/>
  <c r="N7" i="59"/>
  <c r="J103" i="59"/>
  <c r="G264" i="59"/>
  <c r="K153" i="59"/>
  <c r="I106" i="59"/>
  <c r="H163" i="59"/>
  <c r="H255" i="59"/>
  <c r="L19" i="59"/>
  <c r="M65" i="59"/>
  <c r="J57" i="59"/>
  <c r="M15" i="59"/>
  <c r="K34" i="59"/>
  <c r="K183" i="59"/>
  <c r="I87" i="59"/>
  <c r="I105" i="59"/>
  <c r="J112" i="59"/>
  <c r="K36" i="59"/>
  <c r="J172" i="59"/>
  <c r="K205" i="59"/>
  <c r="J257" i="59"/>
  <c r="N124" i="59"/>
  <c r="H270" i="59"/>
  <c r="M95" i="59"/>
  <c r="G27" i="59"/>
  <c r="K187" i="59"/>
  <c r="I164" i="59"/>
  <c r="M75" i="59"/>
  <c r="N77" i="59"/>
  <c r="M225" i="59"/>
  <c r="I7" i="59"/>
  <c r="G67" i="59"/>
  <c r="M259" i="59"/>
  <c r="N125" i="59"/>
  <c r="G105" i="59"/>
  <c r="J108" i="59"/>
  <c r="G184" i="59"/>
  <c r="I186" i="59"/>
  <c r="I156" i="59"/>
  <c r="J119" i="59"/>
  <c r="I90" i="59"/>
  <c r="L230" i="59"/>
  <c r="N163" i="59"/>
  <c r="N138" i="59"/>
  <c r="J147" i="59"/>
  <c r="N92" i="59"/>
  <c r="J168" i="59"/>
  <c r="N89" i="59"/>
  <c r="H225" i="59"/>
  <c r="M229" i="59"/>
  <c r="J263" i="59"/>
  <c r="N50" i="59"/>
  <c r="I175" i="59"/>
  <c r="L227" i="59"/>
  <c r="L136" i="59"/>
  <c r="J58" i="59"/>
  <c r="M22" i="59"/>
  <c r="M195" i="59"/>
  <c r="M93" i="59"/>
  <c r="J79" i="59"/>
  <c r="M230" i="59"/>
  <c r="M80" i="59"/>
  <c r="G210" i="59"/>
  <c r="K76" i="59"/>
  <c r="L144" i="59"/>
  <c r="J104" i="59"/>
  <c r="J84" i="59"/>
  <c r="M114" i="59"/>
  <c r="J37" i="59"/>
  <c r="M164" i="59"/>
  <c r="M270" i="59"/>
  <c r="J109" i="59"/>
  <c r="J166" i="59"/>
  <c r="K270" i="59"/>
  <c r="I36" i="59"/>
  <c r="I107" i="59"/>
  <c r="N230" i="59"/>
  <c r="L188" i="59"/>
  <c r="H148" i="59"/>
  <c r="J10" i="59"/>
  <c r="L40" i="59"/>
  <c r="J157" i="59"/>
  <c r="J28" i="59"/>
  <c r="I122" i="59"/>
  <c r="M8" i="59"/>
  <c r="J117" i="59"/>
  <c r="H242" i="59"/>
  <c r="L213" i="59"/>
  <c r="L158" i="59"/>
  <c r="N85" i="59"/>
  <c r="J100" i="59"/>
  <c r="K69" i="59"/>
  <c r="M36" i="59"/>
  <c r="G201" i="59"/>
  <c r="K243" i="59"/>
  <c r="K233" i="59"/>
  <c r="H28" i="59"/>
  <c r="J25" i="59"/>
  <c r="K154" i="59"/>
  <c r="J88" i="59"/>
  <c r="I266" i="59"/>
  <c r="I64" i="59"/>
  <c r="I47" i="59"/>
  <c r="G119" i="59"/>
  <c r="L28" i="59"/>
  <c r="J43" i="59"/>
  <c r="N97" i="59"/>
  <c r="K203" i="59"/>
  <c r="J145" i="59"/>
  <c r="L127" i="59"/>
  <c r="I239" i="59"/>
  <c r="I93" i="59"/>
  <c r="J267" i="59"/>
  <c r="N216" i="59"/>
  <c r="H46" i="59"/>
  <c r="K232" i="59"/>
  <c r="G60" i="59"/>
  <c r="H6" i="59"/>
  <c r="L189" i="59"/>
  <c r="M13" i="59"/>
  <c r="K95" i="59"/>
  <c r="I195" i="59"/>
  <c r="H44" i="59"/>
  <c r="H103" i="59"/>
  <c r="G196" i="59"/>
  <c r="H31" i="59"/>
  <c r="N259" i="59"/>
  <c r="J36" i="59"/>
  <c r="I25" i="59"/>
  <c r="G20" i="59"/>
  <c r="K258" i="59"/>
  <c r="M215" i="59"/>
  <c r="M166" i="59"/>
  <c r="L61" i="59"/>
  <c r="J89" i="59"/>
  <c r="L202" i="59"/>
  <c r="L216" i="59"/>
  <c r="G195" i="59"/>
  <c r="K212" i="59"/>
  <c r="N61" i="59"/>
  <c r="N2" i="59"/>
  <c r="J50" i="59"/>
  <c r="K188" i="59"/>
  <c r="I248" i="59"/>
  <c r="G6" i="59"/>
  <c r="I146" i="59"/>
  <c r="N62" i="59"/>
  <c r="M92" i="59"/>
  <c r="G158" i="59"/>
  <c r="K157" i="59"/>
  <c r="M151" i="59"/>
  <c r="L222" i="59"/>
  <c r="G240" i="59"/>
  <c r="I43" i="59"/>
  <c r="L223" i="59"/>
  <c r="J24" i="59"/>
  <c r="M25" i="59"/>
  <c r="N156" i="59"/>
  <c r="M167" i="59"/>
  <c r="K266" i="59"/>
  <c r="M51" i="59"/>
  <c r="L187" i="59"/>
  <c r="M81" i="59"/>
  <c r="H13" i="59"/>
  <c r="J179" i="59"/>
  <c r="M172" i="59"/>
  <c r="M107" i="59"/>
  <c r="J141" i="59"/>
  <c r="G144" i="59"/>
  <c r="H53" i="59"/>
  <c r="N40" i="59"/>
  <c r="M216" i="59"/>
  <c r="M105" i="59"/>
  <c r="J128" i="59"/>
  <c r="J230" i="59"/>
  <c r="G22" i="59"/>
  <c r="I46" i="59"/>
  <c r="H76" i="59"/>
  <c r="N12" i="59"/>
  <c r="K72" i="59"/>
  <c r="L107" i="59"/>
  <c r="L246" i="59"/>
  <c r="J54" i="59"/>
  <c r="K170" i="59"/>
  <c r="K117" i="59"/>
  <c r="G84" i="59"/>
  <c r="L183" i="59"/>
  <c r="K20" i="59"/>
  <c r="K206" i="59"/>
  <c r="K262" i="59"/>
  <c r="L57" i="59"/>
  <c r="H187" i="59"/>
  <c r="I159" i="59"/>
  <c r="N121" i="59"/>
  <c r="I59" i="59"/>
  <c r="N185" i="59"/>
  <c r="N128" i="59"/>
  <c r="G194" i="59"/>
  <c r="H41" i="59"/>
  <c r="H101" i="59"/>
  <c r="M20" i="59"/>
  <c r="G191" i="59"/>
  <c r="H29" i="59"/>
  <c r="K149" i="59"/>
  <c r="G31" i="59"/>
  <c r="K167" i="59"/>
  <c r="J47" i="59"/>
  <c r="M263" i="59"/>
  <c r="J233" i="59"/>
  <c r="G157" i="59"/>
  <c r="M39" i="59"/>
  <c r="K255" i="59"/>
  <c r="N102" i="59"/>
  <c r="H80" i="59"/>
  <c r="K238" i="59"/>
  <c r="G189" i="59"/>
  <c r="I151" i="59"/>
  <c r="J95" i="59"/>
  <c r="I216" i="59"/>
  <c r="J228" i="59"/>
  <c r="M132" i="59"/>
  <c r="L261" i="59"/>
  <c r="L238" i="59"/>
  <c r="J125" i="59"/>
  <c r="H14" i="59"/>
  <c r="K77" i="59"/>
  <c r="J19" i="59"/>
  <c r="N6" i="59"/>
  <c r="I33" i="59"/>
  <c r="H198" i="59"/>
  <c r="J196" i="59"/>
  <c r="L151" i="59"/>
  <c r="I53" i="59"/>
  <c r="H91" i="59"/>
  <c r="N9" i="59"/>
  <c r="G82" i="59"/>
  <c r="M235" i="59"/>
  <c r="J209" i="59"/>
  <c r="G33" i="59"/>
  <c r="H12" i="59"/>
  <c r="N47" i="59"/>
  <c r="H149" i="59"/>
  <c r="I157" i="59"/>
  <c r="I134" i="59"/>
  <c r="I97" i="59"/>
  <c r="N8" i="59"/>
  <c r="I227" i="59"/>
  <c r="G30" i="59"/>
  <c r="M129" i="59"/>
  <c r="H65" i="59"/>
  <c r="H264" i="59"/>
  <c r="J240" i="59"/>
  <c r="M98" i="59"/>
  <c r="H265" i="59"/>
  <c r="I26" i="59"/>
  <c r="K28" i="59"/>
  <c r="H231" i="59"/>
  <c r="N83" i="59"/>
  <c r="M130" i="59"/>
  <c r="H234" i="59"/>
  <c r="I31" i="59"/>
  <c r="I99" i="59"/>
  <c r="G211" i="59"/>
  <c r="N221" i="59"/>
  <c r="L7" i="59"/>
  <c r="H160" i="59"/>
  <c r="G173" i="59"/>
  <c r="L206" i="59"/>
  <c r="J174" i="59"/>
  <c r="M211" i="59"/>
  <c r="J106" i="59"/>
  <c r="K265" i="59"/>
  <c r="N22" i="59"/>
  <c r="G142" i="59"/>
  <c r="L179" i="59"/>
  <c r="K263" i="59"/>
  <c r="N165" i="59"/>
  <c r="K245" i="59"/>
  <c r="H210" i="59"/>
  <c r="G168" i="59"/>
  <c r="H155" i="59"/>
  <c r="N60" i="59"/>
  <c r="L41" i="59"/>
  <c r="K79" i="59"/>
  <c r="J188" i="59"/>
  <c r="G247" i="59"/>
  <c r="G72" i="59"/>
  <c r="I14" i="59"/>
  <c r="N228" i="59"/>
  <c r="N123" i="59"/>
  <c r="K55" i="59"/>
  <c r="M89" i="59"/>
  <c r="N209" i="59"/>
  <c r="L6" i="59"/>
  <c r="I231" i="59"/>
  <c r="K11" i="59"/>
  <c r="N78" i="59"/>
  <c r="M148" i="59"/>
  <c r="K214" i="59"/>
  <c r="K138" i="59"/>
  <c r="I125" i="59"/>
  <c r="M43" i="59"/>
  <c r="L218" i="59"/>
  <c r="J170" i="59"/>
  <c r="N18" i="59"/>
  <c r="K9" i="59"/>
  <c r="J165" i="59"/>
  <c r="I102" i="59"/>
  <c r="G235" i="59"/>
  <c r="H173" i="59"/>
  <c r="K219" i="59"/>
  <c r="M189" i="59"/>
  <c r="I19" i="59"/>
  <c r="N25" i="59"/>
  <c r="M250" i="59"/>
  <c r="J173" i="59"/>
  <c r="M214" i="59"/>
  <c r="L198" i="59"/>
  <c r="J130" i="59"/>
  <c r="H258" i="59"/>
  <c r="M244" i="59"/>
  <c r="L257" i="59"/>
  <c r="K185" i="59"/>
  <c r="J15" i="59"/>
  <c r="I137" i="59"/>
  <c r="G34" i="59"/>
  <c r="M161" i="59"/>
  <c r="I123" i="59"/>
  <c r="N159" i="59"/>
  <c r="N261" i="59"/>
  <c r="L3" i="59"/>
  <c r="M138" i="59"/>
  <c r="I39" i="59"/>
  <c r="J69" i="59"/>
  <c r="G55" i="59"/>
  <c r="M209" i="59"/>
  <c r="I119" i="59"/>
  <c r="H107" i="59"/>
  <c r="L69" i="59"/>
  <c r="K92" i="59"/>
  <c r="N110" i="59"/>
  <c r="N160" i="59"/>
  <c r="G160" i="59"/>
  <c r="N226" i="59"/>
  <c r="H172" i="59"/>
  <c r="H180" i="59"/>
  <c r="I56" i="59"/>
  <c r="N69" i="59"/>
  <c r="K2" i="59"/>
  <c r="K162" i="59"/>
  <c r="K48" i="59"/>
  <c r="G14" i="59"/>
  <c r="H201" i="59"/>
  <c r="M268" i="59"/>
  <c r="L137" i="59"/>
  <c r="M137" i="59"/>
  <c r="M194" i="59"/>
  <c r="L67" i="59"/>
  <c r="H141" i="59"/>
  <c r="I204" i="59"/>
  <c r="M97" i="59"/>
  <c r="K19" i="59"/>
  <c r="N84" i="59"/>
  <c r="H261" i="59"/>
  <c r="I265" i="59"/>
  <c r="N208" i="59"/>
  <c r="H167" i="59"/>
  <c r="G185" i="59"/>
  <c r="J182" i="59"/>
  <c r="K132" i="59"/>
  <c r="I63" i="59"/>
  <c r="J167" i="59"/>
  <c r="J266" i="59"/>
  <c r="K229" i="59"/>
  <c r="L152" i="59"/>
  <c r="H113" i="59"/>
  <c r="K252" i="59"/>
  <c r="K99" i="59"/>
  <c r="G159" i="59"/>
  <c r="N262" i="59"/>
  <c r="I104" i="59"/>
  <c r="I166" i="59"/>
  <c r="G112" i="59"/>
  <c r="I126" i="59"/>
  <c r="L190" i="59"/>
  <c r="L272" i="59"/>
  <c r="M190" i="59"/>
  <c r="J202" i="59"/>
  <c r="I100" i="59"/>
  <c r="J78" i="59"/>
  <c r="H95" i="59"/>
  <c r="G129" i="59"/>
  <c r="H246" i="59"/>
  <c r="M219" i="59"/>
  <c r="J97" i="59"/>
  <c r="H35" i="59"/>
  <c r="H48" i="59"/>
  <c r="H241" i="59"/>
  <c r="I17" i="59"/>
  <c r="L256" i="59"/>
  <c r="G188" i="59"/>
  <c r="G265" i="59"/>
  <c r="K93" i="59"/>
  <c r="M180" i="59"/>
  <c r="L81" i="59"/>
  <c r="N56" i="59"/>
  <c r="N132" i="59"/>
  <c r="J120" i="59"/>
  <c r="M78" i="59"/>
  <c r="K216" i="59"/>
  <c r="H190" i="59"/>
  <c r="J132" i="59"/>
  <c r="H84" i="59"/>
  <c r="J231" i="59"/>
  <c r="M203" i="59"/>
  <c r="M58" i="59"/>
  <c r="G204" i="59"/>
  <c r="J26" i="59"/>
  <c r="M53" i="59"/>
  <c r="I84" i="59"/>
  <c r="H34" i="59"/>
  <c r="G225" i="59"/>
  <c r="I226" i="59"/>
  <c r="H151" i="59"/>
  <c r="M59" i="59"/>
  <c r="I238" i="59"/>
  <c r="L154" i="59"/>
  <c r="I142" i="59"/>
  <c r="M42" i="59"/>
  <c r="H2" i="59"/>
  <c r="I235" i="59"/>
  <c r="H243" i="59"/>
  <c r="M90" i="59"/>
  <c r="N254" i="59"/>
  <c r="N153" i="59"/>
  <c r="G243" i="59"/>
  <c r="J30" i="59"/>
  <c r="J255" i="59"/>
  <c r="G92" i="59"/>
  <c r="M12" i="59"/>
  <c r="M113" i="59"/>
  <c r="L204" i="59"/>
  <c r="L159" i="59"/>
  <c r="L121" i="59"/>
  <c r="I177" i="59"/>
  <c r="L232" i="59"/>
  <c r="K81" i="59"/>
  <c r="I11" i="59"/>
  <c r="I260" i="59"/>
  <c r="G19" i="59"/>
  <c r="M71" i="59"/>
  <c r="H98" i="59"/>
  <c r="J270" i="59"/>
  <c r="K54" i="59"/>
  <c r="J242" i="59"/>
  <c r="H175" i="59"/>
  <c r="J175" i="59"/>
  <c r="I149" i="59"/>
  <c r="M221" i="59"/>
  <c r="H143" i="59"/>
  <c r="K104" i="59"/>
  <c r="K257" i="59"/>
  <c r="G107" i="59"/>
  <c r="N106" i="59"/>
  <c r="K129" i="59"/>
  <c r="M254" i="59"/>
  <c r="N194" i="59"/>
  <c r="M19" i="59"/>
  <c r="J102" i="59"/>
  <c r="I168" i="59"/>
  <c r="M261" i="59"/>
  <c r="N81" i="59"/>
  <c r="G111" i="59"/>
  <c r="G10" i="59"/>
  <c r="J5" i="59"/>
  <c r="J66" i="59"/>
  <c r="I72" i="59"/>
  <c r="L139" i="59"/>
  <c r="M2" i="59"/>
  <c r="K12" i="59"/>
  <c r="J56" i="59"/>
  <c r="K141" i="59"/>
  <c r="G143" i="59"/>
  <c r="L53" i="59"/>
  <c r="K180" i="59"/>
  <c r="G155" i="59"/>
  <c r="H212" i="59"/>
  <c r="I263" i="59"/>
  <c r="I199" i="59"/>
  <c r="N136" i="59"/>
  <c r="L94" i="59"/>
  <c r="M163" i="59"/>
  <c r="L194" i="59"/>
  <c r="H133" i="59"/>
  <c r="J197" i="59"/>
  <c r="G205" i="59"/>
  <c r="L125" i="59"/>
  <c r="K246" i="59"/>
  <c r="J134" i="59"/>
  <c r="G206" i="59"/>
  <c r="K156" i="59"/>
  <c r="H87" i="59"/>
  <c r="N3" i="59"/>
  <c r="N222" i="59"/>
  <c r="J21" i="59"/>
  <c r="M69" i="59"/>
  <c r="H30" i="59"/>
  <c r="M157" i="59"/>
  <c r="G249" i="59"/>
  <c r="G80" i="59"/>
  <c r="M30" i="59"/>
  <c r="G25" i="59"/>
  <c r="I54" i="59"/>
  <c r="J271" i="59"/>
  <c r="G114" i="59"/>
  <c r="M249" i="59"/>
  <c r="J113" i="59"/>
  <c r="J76" i="59"/>
  <c r="J12" i="59"/>
  <c r="I255" i="59"/>
  <c r="K18" i="59"/>
  <c r="L14" i="59"/>
  <c r="L226" i="59"/>
  <c r="L269" i="59"/>
  <c r="I41" i="59"/>
  <c r="J163" i="59"/>
  <c r="D7" i="63" l="1"/>
  <c r="AD278" i="59"/>
  <c r="AF278" i="59"/>
  <c r="AG278" i="59"/>
  <c r="AC278" i="59"/>
  <c r="AB278" i="59"/>
  <c r="AE278" i="59"/>
  <c r="F17" i="63"/>
  <c r="D17" i="63"/>
  <c r="J17" i="63"/>
  <c r="E17" i="63"/>
  <c r="G17" i="63"/>
  <c r="I17" i="63"/>
  <c r="H17" i="63"/>
  <c r="F11" i="63"/>
  <c r="I11" i="63"/>
  <c r="D11" i="63"/>
  <c r="E11" i="63"/>
  <c r="H11" i="63"/>
  <c r="J11" i="63"/>
  <c r="G11" i="63"/>
  <c r="G14" i="63"/>
  <c r="H14" i="63"/>
  <c r="J14" i="63"/>
  <c r="E14" i="63"/>
  <c r="I14" i="63"/>
  <c r="D14" i="63"/>
  <c r="F14" i="63"/>
  <c r="AF277" i="59"/>
  <c r="AG277" i="59"/>
  <c r="AB277" i="59"/>
  <c r="AC277" i="59"/>
  <c r="AD277" i="59"/>
  <c r="AE277" i="59"/>
  <c r="I16" i="63"/>
  <c r="E16" i="63"/>
  <c r="J16" i="63"/>
  <c r="H16" i="63"/>
  <c r="G16" i="63"/>
  <c r="F16" i="63"/>
  <c r="D16" i="63"/>
  <c r="G8" i="63"/>
  <c r="H8" i="63"/>
  <c r="E8" i="63"/>
  <c r="D8" i="63"/>
  <c r="I8" i="63"/>
  <c r="F8" i="63"/>
  <c r="J8" i="63"/>
  <c r="F12" i="63"/>
  <c r="H12" i="63"/>
  <c r="E12" i="63"/>
  <c r="G12" i="63"/>
  <c r="D12" i="63"/>
  <c r="I12" i="63"/>
  <c r="J12" i="63"/>
  <c r="AG280" i="59"/>
  <c r="AG276" i="59" s="1"/>
  <c r="AE280" i="59"/>
  <c r="AF280" i="59"/>
  <c r="AB280" i="59"/>
  <c r="AD280" i="59"/>
  <c r="AC280" i="59"/>
  <c r="H18" i="63"/>
  <c r="E18" i="63"/>
  <c r="F18" i="63"/>
  <c r="D18" i="63"/>
  <c r="G18" i="63"/>
  <c r="J18" i="63"/>
  <c r="I18" i="63"/>
  <c r="F15" i="63"/>
  <c r="D15" i="63"/>
  <c r="I15" i="63"/>
  <c r="E15" i="63"/>
  <c r="G15" i="63"/>
  <c r="H15" i="63"/>
  <c r="J15" i="63"/>
  <c r="E9" i="63"/>
  <c r="D9" i="63"/>
  <c r="J9" i="63"/>
  <c r="G9" i="63"/>
  <c r="F9" i="63"/>
  <c r="I9" i="63"/>
  <c r="H9" i="63"/>
  <c r="D13" i="63"/>
  <c r="F13" i="63"/>
  <c r="I13" i="63"/>
  <c r="G13" i="63"/>
  <c r="E13" i="63"/>
  <c r="H13" i="63"/>
  <c r="J13" i="63"/>
  <c r="AB279" i="59"/>
  <c r="AE279" i="59"/>
  <c r="AC279" i="59"/>
  <c r="AF279" i="59"/>
  <c r="AD279" i="59"/>
  <c r="AG279" i="59"/>
  <c r="L13" i="63" l="1"/>
  <c r="K12" i="63"/>
  <c r="L17" i="63"/>
  <c r="P20" i="63"/>
  <c r="AC276" i="59"/>
  <c r="K13" i="63"/>
  <c r="P21" i="63"/>
  <c r="AD276" i="59"/>
  <c r="L15" i="63"/>
  <c r="AB276" i="59"/>
  <c r="P19" i="63"/>
  <c r="K8" i="63"/>
  <c r="L16" i="63"/>
  <c r="P23" i="63"/>
  <c r="AF276" i="59"/>
  <c r="L9" i="63"/>
  <c r="K15" i="63"/>
  <c r="P22" i="63"/>
  <c r="AE276" i="59"/>
  <c r="G10" i="63"/>
  <c r="G7" i="63" s="1"/>
  <c r="G19" i="63" s="1"/>
  <c r="K9" i="63"/>
  <c r="J10" i="63"/>
  <c r="J7" i="63" s="1"/>
  <c r="J19" i="63" s="1"/>
  <c r="K17" i="63"/>
  <c r="H10" i="63"/>
  <c r="H7" i="63" s="1"/>
  <c r="H19" i="63" s="1"/>
  <c r="L12" i="63"/>
  <c r="M12" i="63" s="1"/>
  <c r="E10" i="63"/>
  <c r="E7" i="63" s="1"/>
  <c r="E19" i="63" s="1"/>
  <c r="D10" i="63"/>
  <c r="K18" i="63"/>
  <c r="K16" i="63"/>
  <c r="K14" i="63"/>
  <c r="I10" i="63"/>
  <c r="L11" i="63"/>
  <c r="K11" i="63"/>
  <c r="F10" i="63"/>
  <c r="L14" i="63"/>
  <c r="L10" i="63" l="1"/>
  <c r="M13" i="63"/>
  <c r="P28" i="63"/>
  <c r="S10" i="63"/>
  <c r="M17" i="63"/>
  <c r="F7" i="63"/>
  <c r="F19" i="63" s="1"/>
  <c r="K10" i="63"/>
  <c r="S7" i="63"/>
  <c r="P25" i="63"/>
  <c r="M14" i="63"/>
  <c r="M11" i="63"/>
  <c r="P26" i="63"/>
  <c r="S8" i="63"/>
  <c r="M9" i="63"/>
  <c r="M16" i="63"/>
  <c r="M15" i="63"/>
  <c r="S11" i="63"/>
  <c r="P29" i="63"/>
  <c r="M18" i="63"/>
  <c r="I7" i="63"/>
  <c r="U14" i="63" l="1"/>
  <c r="R26" i="63"/>
  <c r="Q26" i="63" s="1"/>
  <c r="K7" i="63"/>
  <c r="I19" i="63"/>
  <c r="K19" i="63" s="1"/>
  <c r="M19" i="63" s="1"/>
  <c r="L7" i="63"/>
  <c r="L8" i="63"/>
  <c r="M8" i="63" s="1"/>
  <c r="R29" i="63"/>
  <c r="Q29" i="63" s="1"/>
  <c r="U17" i="63"/>
  <c r="M10" i="63"/>
  <c r="P27" i="63"/>
  <c r="S9" i="63"/>
  <c r="R28" i="63"/>
  <c r="Q28" i="63" s="1"/>
  <c r="U16" i="63"/>
  <c r="R27" i="63" l="1"/>
  <c r="Q27" i="63" s="1"/>
  <c r="U15" i="63"/>
  <c r="M7" i="63"/>
  <c r="U13" i="63"/>
  <c r="R25" i="63"/>
  <c r="Q25" i="63" s="1"/>
</calcChain>
</file>

<file path=xl/metadata.xml><?xml version="1.0" encoding="utf-8"?>
<metadata xmlns="http://schemas.openxmlformats.org/spreadsheetml/2006/main" xmlns:xlrd="http://schemas.microsoft.com/office/spreadsheetml/2017/richdata" xmlns:xda="http://schemas.microsoft.com/office/spreadsheetml/2017/dynamicarray">
  <metadataTypes count="2">
    <metadataType name="XLDAPR" minSupportedVersion="120000" copy="1" pasteAll="1" pasteValues="1" merge="1" splitFirst="1" rowColShift="1" clearFormats="1" clearComments="1" assign="1" coerce="1" cellMeta="1"/>
    <metadataType name="XLRICHVALUE" minSupportedVersion="120000" copy="1" pasteAll="1" pasteValues="1" merge="1" splitFirst="1" rowColShift="1" clearFormats="1" clearComments="1" assign="1" coerce="1"/>
  </metadataTypes>
  <futureMetadata name="XLDAPR" count="1">
    <bk>
      <extLst>
        <ext uri="{bdbb8cdc-fa1e-496e-a857-3c3f30c029c3}">
          <xda:dynamicArrayProperties fDynamic="1" fCollapsed="0"/>
        </ext>
      </extLst>
    </bk>
  </futureMetadata>
  <futureMetadata name="XLRICHVALUE" count="1">
    <bk>
      <extLst>
        <ext uri="{3e2802c4-a4d2-4d8b-9148-e3be6c30e623}">
          <xlrd:rvb i="0"/>
        </ext>
      </extLst>
    </bk>
  </futureMetadata>
  <cellMetadata count="1">
    <bk>
      <rc t="1" v="0"/>
    </bk>
  </cellMetadata>
  <valueMetadata count="1">
    <bk>
      <rc t="2" v="0"/>
    </bk>
  </valueMetadata>
</metadata>
</file>

<file path=xl/sharedStrings.xml><?xml version="1.0" encoding="utf-8"?>
<sst xmlns="http://schemas.openxmlformats.org/spreadsheetml/2006/main" count="6730" uniqueCount="2109">
  <si>
    <t>Version:</t>
  </si>
  <si>
    <r>
      <rPr>
        <b/>
        <u/>
        <sz val="14"/>
        <rFont val="Tahoma"/>
        <family val="2"/>
        <scheme val="minor"/>
      </rPr>
      <t>เอกสารแนบ</t>
    </r>
    <r>
      <rPr>
        <b/>
        <sz val="14"/>
        <rFont val="Tahoma"/>
        <family val="2"/>
        <scheme val="minor"/>
      </rPr>
      <t xml:space="preserve"> คำอธิบายประกอบการจัดทำแบบรายงานผลการตรวจสอบด้านเทคโนโลยีสารสนเทศและ
แผนการปรับปรุงแก้ไขข้อบกพร่อง ("แบบรายงานผล IT audit")</t>
    </r>
  </si>
  <si>
    <t>ห้ามใช้ไฟล์นี้จัดส่งสำนักงาน</t>
  </si>
  <si>
    <r>
      <t xml:space="preserve">ไม่สามารถใช้ไฟล์นี้เป็นแบบรายงานผล IT audit เพื่อจัดส่งสำนักงาน ก.ล.ต. ตามประกาศที่ สธ. 38/2565 (ที่แก้ไขเพิ่มเติมโดยประกาศที่ สธ. 33/2567) ได้
การจัดส่งสำนักงานให้ใช้ไฟล์ </t>
    </r>
    <r>
      <rPr>
        <u/>
        <sz val="16"/>
        <color rgb="FFFF0000"/>
        <rFont val="Tahoma"/>
        <family val="2"/>
        <scheme val="minor"/>
      </rPr>
      <t>แบบรายงานผลการตรวจสอบด้านเทคโนโลยีสารสนเทศและแผนการปรับปรุงแก้ไขข้อบกพร่อง ("แบบรายงานผล IT audit")</t>
    </r>
    <r>
      <rPr>
        <sz val="16"/>
        <color rgb="FFFF0000"/>
        <rFont val="Tahoma"/>
        <family val="2"/>
        <scheme val="minor"/>
      </rPr>
      <t xml:space="preserve"> เท่านั้น</t>
    </r>
  </si>
  <si>
    <t>ชื่อบริษัท (นิติบุคคล)</t>
  </si>
  <si>
    <t>*สามารถกรอกชื่อบริษัทบางส่วน, กด enter และกด dropdown icon เพื่อค้นหาจาก List รายชื่อได้ กรณีไม่พบในรายชื่อ กรุณากรอกชื่อบริษัท
  กรณีที่ไม่สามารถใช้ function search box ของ Excel ได้ (เช่น ใช้ Excel Version 2013, 2010 หรือต่ำกว่า) สามารถกรอกชื่อบริษัทลงในช่องได้ โดยไม่ต้องค้นหาจาก List รายชื่อ</t>
  </si>
  <si>
    <t>เลขทะเบียนนิติบุคคล</t>
  </si>
  <si>
    <t>*โปรดระบุเลขประจำตัวผู้เสียภาษี 13 หลัก เพื่อการ mapping ข้อมูล</t>
  </si>
  <si>
    <t>ชื่อผู้ประสานงานของบริษัท</t>
  </si>
  <si>
    <t>เบอร์โทรศัพท์</t>
  </si>
  <si>
    <t>อีเมล</t>
  </si>
  <si>
    <t xml:space="preserve">1. ข้อมูลพื้นฐานเกี่ยวกับการตรวจสอบ </t>
  </si>
  <si>
    <t>ข้อมูลการตรวจสอบ</t>
  </si>
  <si>
    <t>การรายงานผลการตรวจสอบและแผนการปรับปรุงแก้ไข</t>
  </si>
  <si>
    <t>บริษัทได้จัดให้มีการตรวจสอบด้านเทคโนโลยีสารสนเทศที่ครอบคลุมการควบคุมและกิจกรรมด้าน IT ของบริษัท โดยมีรายละเอียดการดำเนินการตรวจสอบ ดังนี้</t>
  </si>
  <si>
    <t>ผลการตรวจสอบพร้อมกับแผนการปรับปรุงแก้ไขข้อตรวจพบได้นำเสนอต่อคณะกรรมการที่เกี่ยวข้องแล้ว เมื่อวันที่</t>
  </si>
  <si>
    <t>ผู้ดำเนินงานตรวจสอบ</t>
  </si>
  <si>
    <t>ผู้ดำเนินการตรวจสอบ</t>
  </si>
  <si>
    <t>*ผู้ตรวจสอบจากบริษัทในเครือ/กลุ่ม ให้นับเป็นผู้เชี่ยวชาญภายนอก</t>
  </si>
  <si>
    <t>คณะกรรมการของบริษัท</t>
  </si>
  <si>
    <t>(วัน/เดือน/ปี ค.ศ.  เช่น 30/5/2025)</t>
  </si>
  <si>
    <t>*กรณีใช้บริการผู้เชี่ยวชาญภายนอก
โปรดกรอกชื่อบริษัทของผู้ตรวจสอบ</t>
  </si>
  <si>
    <t>คณะกรรมการตรวจสอบ
(Audit Committee)</t>
  </si>
  <si>
    <t>(วัน/เดือน/ปี ค.ศ.  เช่น 20/5/2025)</t>
  </si>
  <si>
    <t>*หากไม่มีข้อใด ให้เว้นว่าง (มีเพียงการรายงานคณะกรรมการของบริษัท หรือมีเพียงการรายงานคณะกรรมการตรวจสอบ)</t>
  </si>
  <si>
    <t>วันที่ดำเนินการตรวจสอบ</t>
  </si>
  <si>
    <t>ระหว่างวันที่</t>
  </si>
  <si>
    <t>ถึงวันที่</t>
  </si>
  <si>
    <t>(วัน/เดือน/ปี ค.ศ. เช่น 30/4/2025)</t>
  </si>
  <si>
    <t>dd/mm/yyyy</t>
  </si>
  <si>
    <r>
      <rPr>
        <b/>
        <sz val="14"/>
        <color theme="0"/>
        <rFont val="Tahoma"/>
        <family val="2"/>
        <scheme val="minor"/>
      </rPr>
      <t>ระดับความเสี่ยง
ที่ได้จากการประเมินแบบ RLA ปี 2567</t>
    </r>
    <r>
      <rPr>
        <b/>
        <sz val="10"/>
        <color theme="0"/>
        <rFont val="Tahoma"/>
        <family val="2"/>
        <scheme val="minor"/>
      </rPr>
      <t xml:space="preserve">
(รอบการประเมิน RLA ที่มีกำหนดการนำส่งภายใน 31 ธันวาคม 2567)</t>
    </r>
  </si>
  <si>
    <t>สูง</t>
  </si>
  <si>
    <t>รายชื่อผู้ตรวจสอบ</t>
  </si>
  <si>
    <t>ลำดับที่</t>
  </si>
  <si>
    <r>
      <t xml:space="preserve">ชื่อ สกุล
</t>
    </r>
    <r>
      <rPr>
        <b/>
        <u/>
        <sz val="10"/>
        <rFont val="Tahoma"/>
        <family val="2"/>
        <scheme val="minor"/>
      </rPr>
      <t>(ภาษาอังกฤษ)</t>
    </r>
  </si>
  <si>
    <t>ตำแหน่ง</t>
  </si>
  <si>
    <r>
      <rPr>
        <b/>
        <sz val="10"/>
        <color theme="1"/>
        <rFont val="Tahoma"/>
        <family val="2"/>
        <scheme val="minor"/>
      </rPr>
      <t xml:space="preserve">CISA 
</t>
    </r>
    <r>
      <rPr>
        <sz val="10"/>
        <color theme="1"/>
        <rFont val="Tahoma"/>
        <family val="2"/>
        <scheme val="minor"/>
      </rPr>
      <t>Certification Number 
(ถ้ามี)</t>
    </r>
  </si>
  <si>
    <r>
      <rPr>
        <b/>
        <sz val="10"/>
        <color theme="1"/>
        <rFont val="Tahoma"/>
        <family val="2"/>
        <scheme val="minor"/>
      </rPr>
      <t xml:space="preserve">CISM 
</t>
    </r>
    <r>
      <rPr>
        <sz val="10"/>
        <color theme="1"/>
        <rFont val="Tahoma"/>
        <family val="2"/>
        <scheme val="minor"/>
      </rPr>
      <t>Certification Number 
(ถ้ามี)</t>
    </r>
  </si>
  <si>
    <r>
      <rPr>
        <b/>
        <sz val="10"/>
        <color theme="1"/>
        <rFont val="Tahoma"/>
        <family val="2"/>
        <scheme val="minor"/>
      </rPr>
      <t xml:space="preserve">CISSP 
</t>
    </r>
    <r>
      <rPr>
        <sz val="10"/>
        <color theme="1"/>
        <rFont val="Tahoma"/>
        <family val="2"/>
        <scheme val="minor"/>
      </rPr>
      <t>Certification Number 
(ถ้ามี)</t>
    </r>
  </si>
  <si>
    <r>
      <rPr>
        <b/>
        <sz val="10"/>
        <color theme="1"/>
        <rFont val="Tahoma"/>
        <family val="2"/>
        <scheme val="minor"/>
      </rPr>
      <t xml:space="preserve">ISO/IEC 27001 Lead Auditor 
</t>
    </r>
    <r>
      <rPr>
        <sz val="10"/>
        <color theme="1"/>
        <rFont val="Tahoma"/>
        <family val="2"/>
        <scheme val="minor"/>
      </rPr>
      <t>Certification Number 
(ถ้ามี)</t>
    </r>
  </si>
  <si>
    <r>
      <rPr>
        <b/>
        <sz val="10"/>
        <color theme="1"/>
        <rFont val="Tahoma"/>
        <family val="2"/>
        <scheme val="minor"/>
      </rPr>
      <t>(Optional)</t>
    </r>
    <r>
      <rPr>
        <sz val="10"/>
        <color theme="1"/>
        <rFont val="Tahoma"/>
        <family val="2"/>
        <scheme val="minor"/>
      </rPr>
      <t xml:space="preserve">
Certificate อื่นๆ ที่เกี่ยวกับงาน IT Audit </t>
    </r>
  </si>
  <si>
    <t>ตัวอย่าง</t>
  </si>
  <si>
    <t>Somjai Rakdee</t>
  </si>
  <si>
    <t>หัวหน้าทีมตรวจสอบ</t>
  </si>
  <si>
    <t>-</t>
  </si>
  <si>
    <t>somjai_rakdee@test.com</t>
  </si>
  <si>
    <t>02-1111111</t>
  </si>
  <si>
    <t>Somchai Jaidee</t>
  </si>
  <si>
    <t>ผู้ตรวจสอบ</t>
  </si>
  <si>
    <t>88888888</t>
  </si>
  <si>
    <t>somchai_jaidee@test.com</t>
  </si>
  <si>
    <t>02-2222222</t>
  </si>
  <si>
    <t>2. ระบบ IT ที่ใช้ในการประกอบธุรกิจ</t>
  </si>
  <si>
    <r>
      <t xml:space="preserve">***หมายเหตุ: </t>
    </r>
    <r>
      <rPr>
        <b/>
        <sz val="10"/>
        <rFont val="Tahoma"/>
        <family val="2"/>
        <scheme val="minor"/>
      </rPr>
      <t>หากไม่มีข้อใด สามารถเว้นว่างได้</t>
    </r>
  </si>
  <si>
    <t xml:space="preserve">     หากไม่พบชื่อใน drop down list ให้พิมพ์ชื่อลงในช่องอื่น ๆ</t>
  </si>
  <si>
    <t>สำนักงานจะนำข้อมูลเพื่อใช้ประกอบการส่งเสริม และยกระดับความพร้อมรับมือภัยคุกคามทางไซเบอร์ในภาคตลาดทุน เช่น การจัดทำข้อมูลแจ้งเตือน Cyber Alert ในอุปกรณ์/product ที่ผู้ประกอบธุรกิจใช้งานเป็นส่วนใหญ่ เป็นต้น</t>
  </si>
  <si>
    <t>2.1 Cloud Service Provider (SaaS, PaaS, Iaas) / ผู้ให้บริการ Infrastucture (เช่น Data center)</t>
  </si>
  <si>
    <r>
      <t xml:space="preserve"> *</t>
    </r>
    <r>
      <rPr>
        <b/>
        <sz val="10"/>
        <color rgb="FFFF0000"/>
        <rFont val="Tahoma"/>
        <family val="2"/>
        <scheme val="minor"/>
      </rPr>
      <t>ให้ระบุสูงสุด 3 ราย</t>
    </r>
  </si>
  <si>
    <t>Vendor / Product</t>
  </si>
  <si>
    <t>Amazon Web Services (AWS)</t>
  </si>
  <si>
    <t>อื่น ๆ 
(หากไม่มีใน dropdown list)</t>
  </si>
  <si>
    <t>2.2 Operating System</t>
  </si>
  <si>
    <r>
      <t xml:space="preserve"> *</t>
    </r>
    <r>
      <rPr>
        <b/>
        <sz val="10"/>
        <color rgb="FFFF0000"/>
        <rFont val="Tahoma"/>
        <family val="2"/>
        <scheme val="minor"/>
      </rPr>
      <t>ให้ระบุสูงสุด 3 products</t>
    </r>
  </si>
  <si>
    <t xml:space="preserve">Vendor / Product </t>
  </si>
  <si>
    <t>Red Hat Enterprise Linux (RHEL)</t>
  </si>
  <si>
    <t xml:space="preserve">2.3 Database </t>
  </si>
  <si>
    <t>MySQL</t>
  </si>
  <si>
    <t xml:space="preserve">2.4 Firewall </t>
  </si>
  <si>
    <t>Palo Alto</t>
  </si>
  <si>
    <t>2.5 Switch</t>
  </si>
  <si>
    <t>โปรดระบุข้อมูล : อุปกรณ์ network device (Switch) ที่องค์กรของผู้ประกอบธุรกิจได้ใช้งานสำหรับเครือข่ายสำคัญสำหรับการประกอบธุรกิจ เช่น Core Network, Backbone Network, Production Network เป็นต้น โดยระบุอุปกรณ์ที่มีการใช้งานสูงสุด 3 products</t>
  </si>
  <si>
    <t>D-Link</t>
  </si>
  <si>
    <t>2.6 Router / Gateway</t>
  </si>
  <si>
    <t>โปรดระบุข้อมูล : อุปกรณ์ network device (Router / Gateway) ที่องค์กรของผู้ประกอบธุรกิจได้ใช้งานสำหรับเครือข่ายสำคัญสำหรับการประกอบธุรกิจ เช่น Core Network, Backbone Network, Production Network เป็นต้น โดยระบุอุปกรณ์ที่มีการใช้งานสูงสุด 3 products</t>
  </si>
  <si>
    <t>Cisco</t>
  </si>
  <si>
    <t>2.7 Antivirus</t>
  </si>
  <si>
    <t>Trend Micro</t>
  </si>
  <si>
    <t>2.8 Virtual machine software / tool</t>
  </si>
  <si>
    <t>Vmware</t>
  </si>
  <si>
    <t>2.9 IT Vendor / Service Provider / Third Party</t>
  </si>
  <si>
    <r>
      <t xml:space="preserve"> *</t>
    </r>
    <r>
      <rPr>
        <b/>
        <sz val="10"/>
        <color rgb="FFFF0000"/>
        <rFont val="Tahoma"/>
        <family val="2"/>
        <scheme val="minor"/>
      </rPr>
      <t>ให้ระบุสูงสุด 3 ผู้ให้บริการ/บุคคลภายนอก ด้าน IT</t>
    </r>
  </si>
  <si>
    <r>
      <t>โปรดพิมพ์ชื่อผู้ให้บริการด้าน IT (IT Vendor) หรือบุคคลภายนอก (เช่น ผู้ที่มีการเชื่อมต่อกับระบบ IT ของผู้ประกอบธุรกิจ, ผู้ที่สามารถเข้าถึงข้อมูลสำคัญหรือข้อมูลลูกค้าในรูปแบบบอิเล็กทรอนิกส์ ของผู้ประกอบธุรกิจ เป็นต้น)</t>
    </r>
    <r>
      <rPr>
        <vertAlign val="superscript"/>
        <sz val="10"/>
        <color theme="1"/>
        <rFont val="Tahoma"/>
        <family val="2"/>
        <scheme val="minor"/>
      </rPr>
      <t xml:space="preserve"> </t>
    </r>
    <r>
      <rPr>
        <sz val="10"/>
        <color theme="1"/>
        <rFont val="Tahoma"/>
        <family val="2"/>
        <scheme val="minor"/>
      </rPr>
      <t xml:space="preserve"> </t>
    </r>
    <r>
      <rPr>
        <b/>
        <sz val="10"/>
        <color theme="1"/>
        <rFont val="Tahoma"/>
        <family val="2"/>
        <scheme val="minor"/>
      </rPr>
      <t>ที่มีนัยสำคัญสูงสุด 3 อันดับแรกของผู้ประกอบธุรกิจ</t>
    </r>
    <r>
      <rPr>
        <sz val="10"/>
        <color theme="1"/>
        <rFont val="Tahoma"/>
        <family val="2"/>
        <scheme val="minor"/>
      </rPr>
      <t xml:space="preserve"> (ถ้ามีข้อมูล) ตัวอย่างเช่น ผู้ให้บริการ IT Development Services, IT Infrastructure Services, IT Security Services เป็นต้น</t>
    </r>
  </si>
  <si>
    <t>SAP, IBM, ServiceNow, …</t>
  </si>
  <si>
    <t>3. ระบบ IT ที่อยู่ในขอบเขตของการตรวจสอบ</t>
  </si>
  <si>
    <t>ตรวจสอบรายชื่อระบบ IT ที่มีนัยสำคัญที่ควรพิจารณากำหนดเป็นขอบเขตของการตรวจสอบ ตาม Sheet "3.1 Critical Systems"</t>
  </si>
  <si>
    <t>ลักษณะระบบงาน</t>
  </si>
  <si>
    <t>ประเภทระบบงาน
(สามารถตรวจสอบข้อมูลได้ที่ Sheet 3.1 Critical Systems)</t>
  </si>
  <si>
    <t>ประเภทระบบอื่น ๆ ที่ไม่ได้อยู่ใน drop down list 
*โปรดพิมพ์ชื่อประเภทระบบลงในช่อง</t>
  </si>
  <si>
    <t>ชื่อผลิตภัณฑ์</t>
  </si>
  <si>
    <t>รูปแบบการใช้งานระบบ
(deployment model)</t>
  </si>
  <si>
    <t>ฟังก์ชันงาน</t>
  </si>
  <si>
    <t>Of-the-shelf system (ระบบสำเร็จรูป)</t>
  </si>
  <si>
    <t>ระบบรับส่งคำสั่งซื้อขาย (Front Office : OMS)</t>
  </si>
  <si>
    <t>เช่น Horizon, iFIS, Flextrade, HiTrade, …</t>
  </si>
  <si>
    <t>On-Premises</t>
  </si>
  <si>
    <t>ระบบสำหรับรับส่งคำสั่งซื้อขายหลักทรัพย์จากลูกค้าไปยังศูนย์ซื้อขายหลักทรัพย์ (Trading Venue) และตัวแทนซื้อขายในต่างประเทศ (oversea brokers &amp; dealers)</t>
  </si>
  <si>
    <t>Customized/In-house developed system (ระบบพัฒนาขึ้นเอง)</t>
  </si>
  <si>
    <t>ระบบ Back Office</t>
  </si>
  <si>
    <t>AAA</t>
  </si>
  <si>
    <t>ระบบที่เกี่ยวข้องกับการจัดการข้อมูลลูกค้า ข้อมูลการซื้อขาย การชำระราคาและส่งมอบหลักทรัพย์ระหว่างบริษัท ธุรกรรมกับลูกค้าและบุคคลอื่น</t>
  </si>
  <si>
    <t>ระบบเก็บรักษาสินทรัพย์ดิจิทัลของลูกค้า</t>
  </si>
  <si>
    <t>เช่น Fireblocks, Coinbase Custody, Bitgo, …</t>
  </si>
  <si>
    <t>On-Cloud</t>
  </si>
  <si>
    <t>ระบบสำหรับดูแลรักษาสินทรัพย์ดิจิทัลของลูกค้า ในส่วนของ Hot Wallet</t>
  </si>
  <si>
    <t>ระบบอื่น ๆ</t>
  </si>
  <si>
    <t>เว็บไซต์</t>
  </si>
  <si>
    <t>www.ตัวอย่างเว็บไซต์.co.th</t>
  </si>
  <si>
    <t>Hybrid</t>
  </si>
  <si>
    <t>หน้าเว็บไซต์ของบริษัท เพื่อเป็นช่องทางให้ลูกค้าเข้าทำรายการ</t>
  </si>
  <si>
    <t>ประเภทผู้ประกอบธุรกิจ</t>
  </si>
  <si>
    <r>
      <t>ระบบ IT ที่มีนัยสำคัญ</t>
    </r>
    <r>
      <rPr>
        <u/>
        <sz val="10"/>
        <color theme="0"/>
        <rFont val="Tahoma"/>
        <family val="2"/>
        <scheme val="major"/>
      </rPr>
      <t>ที่ควร</t>
    </r>
    <r>
      <rPr>
        <sz val="10"/>
        <color theme="0"/>
        <rFont val="Tahoma"/>
        <family val="2"/>
        <scheme val="major"/>
      </rPr>
      <t>อยู่ในขอบเขตการตรวจสอบ</t>
    </r>
  </si>
  <si>
    <t>คำอธิบาย</t>
  </si>
  <si>
    <t xml:space="preserve">[บล.] นายหน้าซื้อขาย / ค้า /จัดจำหน่ายหลักทรัพย์ </t>
  </si>
  <si>
    <t>ระบบที่เกี่ยวข้องกับการจัดการข้อมูลลูกค้า ข้อมูลการซื้อขาย การชำระราคาและส่งมอบหลักทรัพย์ระหว่างบริษัท ธุรกรรมกับลูกค้าและบุคคลอื่น (เช่น TCH และ TSD) รวมถึงการดูแลทรัพย์สินของลูกค้า เช่น การฝากถอนเงิน และการวางหลักประกันของลูกค้า เป็นต้น</t>
  </si>
  <si>
    <t xml:space="preserve">[บล.] ตัวแทนซื้อขายสัญญาซื้อขายล่วงหน้า </t>
  </si>
  <si>
    <t>ระบบสำหรับรับส่งคำสั่งซื้อขายสัญญาซื้อขายล่วงหน้าจากลูกค้าไปยังศูนย์ซื้อขายสัญญาซื้อขายล่วงหน้า (Trading Venue) และตัวแทนซื้อขายในต่างประเทศ (oversea brokers &amp; dealers)</t>
  </si>
  <si>
    <t>ระบบที่เกี่ยวข้องกับการจัดการข้อมูลลูกค้า ข้อมูลการซื้อขาย การวางหลักประกันระหว่างบริษัท ธุรกรรมกับลูกค้าและบุคคลอื่น (เช่น TCH)  รวมถึงการดูแลทรัพย์สินของลูกค้า เช่น การฝากถอนเงิน เป็นต้น</t>
  </si>
  <si>
    <t>[บลจ.] การจัดการกองทุนรวม / การจัดการกองทุนส่วนบุคคล</t>
  </si>
  <si>
    <t xml:space="preserve">ระบบรับคำสั่งซื้อขายหน่วยลงทุน (Selling Agent) </t>
  </si>
  <si>
    <t>ระบบที่เกี่ยวข้องกับการรับคำสั่งซื้อขายหน่วยลงทุนจากลูกค้า</t>
  </si>
  <si>
    <t>ระบบจัดการกองทุน (Portfolio Management)</t>
  </si>
  <si>
    <t>ระบบที่เกี่ยวข้องกับการบริหารจัดการกองทุน</t>
  </si>
  <si>
    <t>ระบบที่เกี่ยวข้องกับการชำระราคา การจัดสรรหน่วยลงทุน การเก็บรักษาทรัพย์สินของผู้ลงทุน  และการคำนวณมูลค่าทรัพย์สิน</t>
  </si>
  <si>
    <t>[บลน. / LBDU] นายหน้าซื้อขาย / ค้า /จัดจำหน่ายหลักทรัพย์ ที่เป็นหน่วยลงทุน</t>
  </si>
  <si>
    <t xml:space="preserve">ระบบ Back Office </t>
  </si>
  <si>
    <t>ระบบที่เกี่ยวข้องกับการชำระราคา การจัดสรรหน่วยหน่วยลงทุน  การเก็บรักษาทรัพย์สินของผู้ลงทุน และการจัดทำทะเบียนผู้ถือหน่วยลงทุน (กรณี omnibus)</t>
  </si>
  <si>
    <t>[Digital Asset Exchange] ศูนย์ซื้อขายสินทรัพย์ดิจิทัล</t>
  </si>
  <si>
    <t>ระบบซื้อขายสินทรัพย์ดิจิทัล</t>
  </si>
  <si>
    <t>ระบบสำหรับการซื้อขาย ระบบงานที่ช่วยเสริมสร้างและรักษากลไกการทำงานของระบบซื้อขาย ให้มีความเป็นระเบียบเรียบร้อย (market surveillance) ระบบชำระราคาและส่งมอบสินทรัพย์ดิจิทัล</t>
  </si>
  <si>
    <t>ระบบการรับลูกค้า การพิสูจน์ยืนยันตัวของลูกค้า</t>
  </si>
  <si>
    <t>ระบบการรับลูกค้า (customer onboarding) และระบบการพิสูจน์ตัวตนของลูกค้า (KYC)</t>
  </si>
  <si>
    <t>ระบบสำหรับดูแลรักษาสินทรัพย์ของลูกค้า ซึ่งรวมถึงระบบรับฝากและถอนทรัพย์สินที่เป็นสินทรัพย์ดิจิทัล</t>
  </si>
  <si>
    <t xml:space="preserve">[Digital Asset Broker] นายหน้าซื้อขายสินทรัพย์ดิจิทัล </t>
  </si>
  <si>
    <t>ระบบรับส่งคำสั่งซื้อขายสินทรัพย์ดิจิทัล</t>
  </si>
  <si>
    <t>ระบบสำหรับให้บริการรับคำสั่งซื้อหรือขายสินทรัพย์ดิจิทัลจากลูกค้า เพื่อส่งผ่านไปยังศูนย์ซื้อขายสินทรัพย์ดิจิทัลปลายทางที่นายหน้าซื้อขายสินทรัพย์ดิจิทัลไปเชื่อมต่อระบบด้วย</t>
  </si>
  <si>
    <t xml:space="preserve">[Digital Asset Dealer] ผู้ค้าสินทรัพย์ดิจิทัล </t>
  </si>
  <si>
    <t>ระบบค้าสินทรัพย์ดิจิทัล</t>
  </si>
  <si>
    <t>ระบบสำหรับการค้า แลกเปลี่ยน ชำระ ส่งมอบทรัพย์สินดิจิทัล</t>
  </si>
  <si>
    <t>[Digital Asset Fund Manager] ผู้จัดการเงินทุนสินทรัพย์ดิจิทัล</t>
  </si>
  <si>
    <t>ระบบรับคำสั่งเพิ่มทุนหรือลดทุน</t>
  </si>
  <si>
    <t>ระบบที่เกี่ยวข้องกับการรับคำสั่งเพิ่มทุนหรือลดทุนจากลูกค้า</t>
  </si>
  <si>
    <t>ระบบคำนวณ NAV</t>
  </si>
  <si>
    <t>ระบบที่เกี่ยวข้องกับการคำนวณมูลค่าทรัพย์สิน</t>
  </si>
  <si>
    <t>[Digital Asset Custodial Wallet Provider] ผู้ให้บริการรับฝากสินทรัพย์ดิจิทัล</t>
  </si>
  <si>
    <t>[Crowd Funding] ผู้ให้บริการระบบคราวด์ฟันดิง</t>
  </si>
  <si>
    <t xml:space="preserve">ระบบการเสนอขายและการจองจัดสรรหลักทรัพย์คราวด์ฟันดิง </t>
  </si>
  <si>
    <t xml:space="preserve">ระบบที่เกี่ยวข้องกับการให้บริการเสนอขาย การจองและจัดสรรหลักทรัพย์คราวด์ฟันดิง </t>
  </si>
  <si>
    <t xml:space="preserve">[ICO Portal] ผู้ให้บริการระบบเสนอขายโทเคนดิจิทัล </t>
  </si>
  <si>
    <t>ระบบการเสนอขายและการจองจัดสรรโทเคนดิจิทัล</t>
  </si>
  <si>
    <t xml:space="preserve">ระบบที่เกี่ยวข้องกับการให้บริการเสนอขาย การจองและจัดสรรโทเคนดิจิทัล </t>
  </si>
  <si>
    <t>ตลาดหลักทรัพย์แห่งประเทศไทย</t>
  </si>
  <si>
    <t>ระบบซื้อขายหลักทรัพย์</t>
  </si>
  <si>
    <t>ระบบที่เกี่ยวข้องกับการซื้อขายหลักทรัพย์</t>
  </si>
  <si>
    <t>ระบบงานกำกับการซื้อขาย (Market Surveillance System) </t>
  </si>
  <si>
    <t>ระบบที่เกี่ยวข้องกับการรักษากลไกการทำงานของระบบซื้อขายหลักทรัพย์ให้มีความเป็นระเบียบเรียบร้อย (market surveillance)</t>
  </si>
  <si>
    <t>ระบบเผยแพร่ข้อมูลซื้อขาย</t>
  </si>
  <si>
    <t>ระบบที่เกี่ยวข้องกับการเปิดเผยข้อมูลซื้อขายหลักทรัพย์</t>
  </si>
  <si>
    <t>ศูนย์ซื้อขายสัญญาซื้อขายล่วงหน้า</t>
  </si>
  <si>
    <t>ระบบซื้อขายสัญญาซื้อขายล่วงหน้า</t>
  </si>
  <si>
    <t>ระบบที่เกี่ยวข้องกับการซื้อขายสัญญาซื้อขายล่วงหน้า</t>
  </si>
  <si>
    <t>ระบบที่เกี่ยวข้องกับการรักษากลไกการทำงานของระบบซื้อขายสัญญาซื้อขายล่วงหน้าให้มีความเป็นระเบียบเรียบร้อย (market surveillance)</t>
  </si>
  <si>
    <t>ระบบที่เกี่ยวข้องกับการเปิดเผยข้อมูลซื้อขายสัญญาซื้อขายล่วงหน้า</t>
  </si>
  <si>
    <t>สำนักหักบัญชีหลักทรัพย์/สำนักหักบัญชีสัญญาซื้อขายล่วงหน้า</t>
  </si>
  <si>
    <t>ระบบชำระราคาซื้อขายหลักทรัพย์</t>
  </si>
  <si>
    <t>ระบบที่เกี่ยวข้องกับการชำระราคาซื้อขายหลักทรัพย์</t>
  </si>
  <si>
    <t>ระบบชำระราคาซื้อขายสัญญาซื้อขายล่วงหน้า</t>
  </si>
  <si>
    <t>ระบบที่เกี่ยวข้องกับการชำระราคาซื้อขายสัญญาซื้อขายล่วงหน้า</t>
  </si>
  <si>
    <t>ศูนย์รับฝากหลักทรัพย์</t>
  </si>
  <si>
    <t>ระบบนายทะเบียนหลักทรัพย์ (Registrar)</t>
  </si>
  <si>
    <t>ระบบที่เกี่ยวข้องกับการจัดทำทะเบียนหลักทรัพย์ให้กับหลักทรัพย์ที่จดทะเบียนใน SET และ mai รวมทั้งหลักทรัพย์ที่ไม่ได้จดทะเบียน</t>
  </si>
  <si>
    <t xml:space="preserve">ระบบรับฝากหลักทรัพย์ (Depository) </t>
  </si>
  <si>
    <t>ระบบที่เกี่ยวข้องกับการรับฝากหลักทรัพย์ทั้งตราสารทุนและตราสารหนี้</t>
  </si>
  <si>
    <t>ผู้ให้บริการระบบสนับสนุนงานที่เกี่ยวข้องกับการซื้อขายหน่วยลงทุน
และการจัดการกองทุน (เช่น FundConnext)</t>
  </si>
  <si>
    <t>ระบบ Order Routing</t>
  </si>
  <si>
    <t>ระบบที่ให้บริการเกี่ยวกับการรับส่งคำสั่งซื้อขายหน่วยลงทุน</t>
  </si>
  <si>
    <t>ผู้ให้บริการระบบชำระเงินซื้อขายหลักทรัพย์ (เช่น Finnet)</t>
  </si>
  <si>
    <t>ระบบจัดการข้อมูลในการชำระเงินซื้อขายหลักทรัพย์</t>
  </si>
  <si>
    <t>ระบบที่เกี่ยวข้องกับการบริหารจัดการข้อมูลและการชำระเงินซื้อขายหลักทรัพย์</t>
  </si>
  <si>
    <t>ธุรกิจอื่น ๆ</t>
  </si>
  <si>
    <t>ประเมินความเสี่ยงและกำหนดขอบเขตของการตรวจสอบให้ครอบคลุมระบบ IT ที่มีนัยสำคัญ</t>
  </si>
  <si>
    <t>ระบบที่หากมีการหยุดชะงักจะส่งผลกระทบอย่างมีนัยสำคัญต่อการดำเนินงานหรือความต่อเนื่องในการดำเนินงาน ชื่อเสียง หรือฐานะของผู้ประกอบธุรกิจ หรือการใช้บริการของลูกค้า</t>
  </si>
  <si>
    <t>#
control ID</t>
  </si>
  <si>
    <t>H</t>
  </si>
  <si>
    <t>M</t>
  </si>
  <si>
    <t>L</t>
  </si>
  <si>
    <t>S</t>
  </si>
  <si>
    <t>สธ. 38/2565
(ปรับปรุงแก้ไขโดย สธ. 33/2567)</t>
  </si>
  <si>
    <t>นป. 6/2567</t>
  </si>
  <si>
    <t>การควบคุมที่
สธ. # นป.</t>
  </si>
  <si>
    <t>การควบคุมที่ควรมี</t>
  </si>
  <si>
    <t>ระดับความสำคัญของ
การควบคุม</t>
  </si>
  <si>
    <t>ตัวอย่างวิธีการเก็บหลักฐาน (Methods of obtaining audit evidence)
สามารถนำไปปรับใช้ประกอบการประเมินได้</t>
  </si>
  <si>
    <t>ผลการประเมิน</t>
  </si>
  <si>
    <t>ประเภทการวัดผล</t>
  </si>
  <si>
    <t>Maturity Level 1 (M1)</t>
  </si>
  <si>
    <t>Maturity Level 2 (M2)</t>
  </si>
  <si>
    <t>Maturity Level 3 (M3)</t>
  </si>
  <si>
    <t>Maturity Level 4 (M4)</t>
  </si>
  <si>
    <t>Maturity Level 5 (M5)</t>
  </si>
  <si>
    <t>หมวดที่ 1 การกำกับดูแลและบริหารจัดการด้าน IT  (Information Technology Governance)</t>
  </si>
  <si>
    <t>M1</t>
  </si>
  <si>
    <t>M2</t>
  </si>
  <si>
    <t>M3</t>
  </si>
  <si>
    <t>M4</t>
  </si>
  <si>
    <t>M5</t>
  </si>
  <si>
    <t>ส่วนที่ 1 บทบาทหน้าที่และความรับผิดชอบของคณะกรรมการของผู้ประกอบธุรกิจ</t>
  </si>
  <si>
    <t>บทบาทหน้าที่และความรับผิดชอบของคณะกรรมการของผู้ประกอบธุรกิจ</t>
  </si>
  <si>
    <t>D1 #1</t>
  </si>
  <si>
    <t>x</t>
  </si>
  <si>
    <t>1.1</t>
  </si>
  <si>
    <t>1.1 #1</t>
  </si>
  <si>
    <t>มีการกำหนดกรอบการกำกับดูแลด้าน IT (governance framework) โดยครอบคลุมถึงรายละเอียด โครงสร้าง บทบาทหน้าที่ และกระบวนการที่เกี่ยวข้องกับการกำกับดูแลด้าน IT</t>
  </si>
  <si>
    <t xml:space="preserve">1. สัมภาษณ์คณะกรรมการของผู้ประกอบธุรกิจหรือคณะกรรมการที่ได้รับมอบหมายจากคณะกรรมการของผู้ประกอบธุรกิจ เกี่ยวกับกระบวนการและกรอบการกำกับดูแลด้าน IT เพื่อให้มั่นใจว่าผู้ประกอบธุรกิจมีการจัดทำกรอบการกำกับดูแลด้าน IT 
2. สอบทานกรอบการกำกับดูแลด้าน IT เพื่อให้มั่นใจว่า 
    (1) บริษัทมีการกำหนดโครงสร้างการกำกับดูแล บทบาทหน้าที่และความรับผิดชอบของคณะกรรมการของผู้ประกอบธุรกิจ ผู้บริหารระดับสูง และฝ่ายงานที่เกี่ยวข้อง
    (2) บริษัทมีการกำหนดกระบวนการที่เกี่ยวข้องกับการกำกับดูแลด้าน IT  เช่น 
       การจัดทำและขออนุมัติแผนงานด้าน IT 
       การจัดทำและขออนุมัติทรัพยากรด้าน IT และ
      การติดตามและรายงานผลการดำเนินการด้าน IT เป็นต้น </t>
  </si>
  <si>
    <t>Yes/Partial/No</t>
  </si>
  <si>
    <t>N/A</t>
  </si>
  <si>
    <t>D1 #2</t>
  </si>
  <si>
    <t>1.1 #2</t>
  </si>
  <si>
    <t>มีการจัดทำแผนงานด้าน IT ประจำปีซึ่งสอดรับกับกลยุทธ์
ในการดำเนินธุรกิจ และมีความเหมาะสมเพียงพอที่จะรองรับการเปลี่ยนแปลงด้าน IT และการเปลี่ยนแปลงการดำเนินธุรกิจในอนาคต</t>
  </si>
  <si>
    <t>1. สัมภาษณ์คณะกรรมการของผู้ประกอบธุรกิจหรือคณะกรรมการที่ได้รับมอบหมายจากคณะกรรมการของผู้ประกอบธุรกิจ เกี่ยวกับกระบวนการกำกับดูแลแผนงานด้าน IT เพื่อให้มั่นใจว่าแผนงานด้าน IT มีความสอดคล้องกับแผนทางธุรกิจและรองรับการเปลี่ยนแปลงทางด้าน IT
2. สอบทาน "แผนงานด้าน IT ประจำปี" เพื่อให้มั่นใจว่า  บริษัทมีการจัดทำและอนุมัติแผนงานด้าน IT  ที่สอดคล้องกับกลยุทธ์ในการดำเนินธุรกิจและมีความยืดหยุ่นเพียงพอที่จะรองรับการเปลี่ยนแปลงในอนาคต
(M4) 3. สอบทาน "หลักฐานการสอบทานแผนงานด้าน IT ประจำปี" เพื่อให้มั่นใจว่ากรอบกำกับดูแลและแผนงานดังกล่าวได้กำหนดกรอบเวลาที่ชัดเจนในการสอบทานและปรับปรุงให้มีความสอดคล้องกับแผนทางธุรกิจ หรือการเปลี่ยนแปลงของการดำเนินธุรกิจอย่างสม่ำเสมอ
(M5) 4. สอบทาน "หลักฐานการติดตามเชิงรุกต่อการเปลี่ยนแปลงด้าน IT และการเปลี่ยนแปลงการดำเนินธุรกิจ" เช่น เอกสารที่แสดงให้เห็นว่าคณะกรรมการได้นำปัจจัยการเปลี่ยนแปลงของ IT ที่คาดว่ามีหรือกำลังจะนำมาใช้ หรือกรณีผู้ประกอบธุรกิจมีแผนการขยายธุรกิจ มาพิจารณาถึงผลกระทบต่อแผนงานด้าน IT  เพื่อให้มั่นใจว่า คณะกรรมการมีการติดตามเชิงรุกต่อการเปลี่ยนแปลงด้าน IT และการเปลี่ยนแปลงการดำเนินธุรกิจ เพื่อนำไปพัฒนาปรับปรุงแผนงานด้าน IT ประจำปีให้เพียงพอต่อการรองรับการเปลี่ยนแปลงที่อาจเกิดขึ้นในอนาคต</t>
  </si>
  <si>
    <t>Maturity</t>
  </si>
  <si>
    <t>ไม่มีการจัดทำแผนงานด้าน IT ประจำปี</t>
  </si>
  <si>
    <t>มีการจัดทำแผนงานด้าน IT  แต่ยังไม่สอดคล้องกับกลยุทธ์หรือแผนการดำเนินธุรกิจ หรือไม่เพียงพอที่จะรองรับการเปลี่ยนแปลงที่อาจเกิดขึ้นในอนาคต</t>
  </si>
  <si>
    <t>มีการจัดทำแผนงานด้าน IT ที่สอดคล้องกับกลยุทธ์หรือแผนการดำเนินธุรกิจ และเพียงพอเพื่อรองรับการเปลี่ยนแปลงที่อาจเกิดขึ้นในอนาคต และได้รับการอนุมัติจากคณะกรรมการของผู้ประกอบธุรกิจหรือคณะกรรมการที่ได้รับมอบหมายจากคณะกรรมการของผู้ประกอบธุรกิจ</t>
  </si>
  <si>
    <t>มีการจัดทำตาม Maturity Level 3 รวมถึงมีการสอบทานแผนงานด้าน IT ระหว่างปี เพื่อให้มั่นใจว่ามีความสอดคล้องกับการดำเนินธุรกิจและ IT ในปัจจุบัน</t>
  </si>
  <si>
    <t xml:space="preserve">มีการจัดทำตาม Maturity Level 4 รวมถึงมีการติดตามเชิงรุกต่อการเปลี่ยนแปลงด้าน IT และการเปลี่ยนแปลงการดำเนินธุรกิจที่อาจเกิดขึ้น เพื่อนำไปพัฒนาปรับปรุงแผนงานด้าน IT </t>
  </si>
  <si>
    <t>D1 #3</t>
  </si>
  <si>
    <t>1.2 #1</t>
  </si>
  <si>
    <t xml:space="preserve">มีการบริหารทรัพยากรทางด้าน IT และทรัพยากรบุคคลให้สอดคล้องกับเป้าหมาย ตามภารกิจ กลยุทธ์ นโยบาย และแผนการดำเนินงานที่กำหนดไว้
</t>
  </si>
  <si>
    <t>1. สอบทาน “แผนงานด้าน IT”  “งบประมาณทางด้าน IT” และ “การบริหารอัตรากำลังของบุคลากรด้าน IT” หรือ “การประเมินอัตรากำลังของเจ้าหน้าที่ IT” เพื่อให้มั่นใจว่าบริษัทมีการจัดสรรงบประมาณและบุคลากรเพียงพอต่อการดำเนินงานตามแผนงานด้าน IT 
2. สอบทาน“รายงานการประชุมคณะกรรมการผู้ประกอบธุรกิจ” เพื่อให้มั่นใจว่าคณะกรรมการฯ มีการพิจารณาความเพียงพอของทรัพยากรและบุคคลากรทางด้าน IT ต่อการดำเนินการตามแผนงานทางด้าน IT อย่างเหมาะสม
(M4) 3. สอบทาน หลักฐานการสอบทาน “งบประมาณทางด้าน IT” และ “แผนการบริหารอัตรากำลังของบุคลากรด้าน IT” เพื่อให้มั่นใจว่าการบริหารทรัพยากรดังกล่าวได้รับการปรับปรุงให้มีความสอดคล้องกับแผนทางด้าน IT อย่างสม่ำเสมอ
(M5) 4. สอบทาน "หลักฐานการติดตามเชิงรุกต่อการเปลี่ยนแปลงแผนงานด้าน IT" เพื่อให้มั่นใจว่า บริษัทมีการติดตามเชิงรุกต่อการเปลี่ยนแปลงแผนทางด้าน IT เพื่อนำไปพัฒนาปรับปรุงแผนการบริหารทรัพยากรทางด้าน IT และทรัพยากรบุคคลให้เพียงพอต่อการรองรับการเปลี่ยนแปลงที่อาจเกิดขึ้นในอนาคต</t>
  </si>
  <si>
    <t>ไม่มีการกำกับดูแลจัดสรรทรัพยากรทางด้าน IT  และการจัดสรรทรัพยากรบุคคล</t>
  </si>
  <si>
    <t>มีการกำกับดูแลจัดสรรทรัพยากรทางด้าน IT  และการจัดสรรทรัพยากรบุคคล แต่ไม่สอดคล้องกับแผนงานด้าน IT</t>
  </si>
  <si>
    <t>มีการกำกับดูแลจัดสรรทรัพยากรทางด้าน IT  และการจัดสรรทรัพยากรบุคคล สอดคล้องกับแผนงานด้าน IT</t>
  </si>
  <si>
    <t>มีการจัดทำตาม Maturity Level 3 รวมถึงมีการติดตามรายงานผลการดำเนินงานตามแผนสรรทรัพยากรทางด้าน IT  และการจัดสรรทรัพยากรบุคคล เพื่อให้มั่นใจว่ามีการจัดสรรดังกล่าวสอดคล้องกับแผนด้าน IT และเพียงพอต่อการดำเนินธุรกิจตามเป้าหมายขององค์กรที่วางไว้ได้</t>
  </si>
  <si>
    <t>มีการจัดทำตาม Maturity Level 4 รวมถึงมีการติดตามเชิงรุกต่อการเปลี่ยนแปลงด้าน IT และการเปลี่ยนแปลงการดำเนินธุรกิจที่อาจเกิดขึ้น เพื่อนำไปพัฒนาปรับปรุงแผนการบริหารทรัพยากรทางด้าน IT และทรัพยากรบุคคลให้เพียงพอต่อการรองรับการเปลี่ยนแปลงที่อาจเกิดขึ้นในอนาคต</t>
  </si>
  <si>
    <t>D1 #4</t>
  </si>
  <si>
    <t xml:space="preserve">- อ้างอิงการควบคุมที่ 2.2 -
</t>
  </si>
  <si>
    <t>D1 #5</t>
  </si>
  <si>
    <t xml:space="preserve">- อ้างอิงการควบคุมที่ 2.2.1 และ 2.2.2 -
</t>
  </si>
  <si>
    <t>D1 #6</t>
  </si>
  <si>
    <t>1.5</t>
  </si>
  <si>
    <t>1</t>
  </si>
  <si>
    <t>1.5 #1</t>
  </si>
  <si>
    <t>มีกระบวนการการสร้างความรู้และความตระหนักด้าน IT Risk แก่กรรมการและบุคลากรอย่างต่อเนื่องและมีประสิทธิผล โดยกรรมการของผู้ประกอบธุรกิจ อย่างน้อย 1 ท่าน ได้รับการสร้างความรู้และความตระหนักด้าน IT Risk อย่างเพียงพอ ตามระยะเวลาที่เหมาะสม เพื่อให้เท่าทันกับภัยคุกคามใหม่ และสภาพแวดล้อมด้าน IT ที่เปลี่ยนแปลงไป</t>
  </si>
  <si>
    <t>1. สัมภาษณ์ คณะกรรมการของผู้ประกอบธุรกิจ หรือคณะกรรมการที่ได้รับมอบหมายจากคณะกรรมการของผู้ประกอบธุรกิจ เกี่ยวกับการสื่อสารสร้างความรู้และความตระหนักรู้ทางด้าน IT Risk ให้แก่กรรมการและบุคลากร
2. สัมภาษณ์ ผู้บริหารหน่วยงานทรัพยากรบุคคล (Human Resource) หรือ ผู้บริหารด้าน IT หรือผู้ที่ได้รับมอบหมายหน้าที่ เกี่ยวกับวิธีการสร้างความรู้และความตระหนักรู้ด้าน IT Risk อย่างเพียงพอต่อกรรมการของผู้ประกอบธุรกิจ
3. สอบทาน "หลักฐานการสร้างความรู้และความตระหนักรู้ด้าน IT Risk " เช่น เอกสารประกอบการอบรม ใบลงชื่อผู้เข้าร่วมอบรมและเอกสารที่เกี่ยวข้องอื่น ๆ เป็นต้น
4. สอบทาน "หลักฐานการสร้างความรู้และความตระหนักรู้ด้าน IT Risk" ต่อกรรมการของผู้ประกอบธุรกิจ เช่น หลักฐานการเข้าร่วมกิจกรรม Cyber Armor : Board Awareness ประจำปี ที่สำนักงาน ก.ล.ต. ได้จัด หลักฐานการเข้าร่วมการอบรม สัมมนา หรือกิจกรรมอื่น ๆ  ที่กรรมการได้เข้าร่วมระหว่างปี เป็นต้น
(M4) 5. สอบทาน "เอกสารการประเมินผล หรือวัดผลความรู้และความตระหนักรู้ด้าน IT Risk" นำผลลัพธ์มาวิเคราะห์ ปรับปรุงวิธีการ รวมถึงพิจารณาการจัดอบรมเพิ่มเติมเพื่อให้มั่นใจว่า กรรมการและบุคลากรมีความรู้และความตระหนักด้าน IT Risk อย่างมีประสิทธิผลแลเพียงพอในการปฎิบัติงานอย่างต่อเนื่อง
(M5) 6. สอบทาน "หลักฐานการปรับปรุง (update) ข้อมูลที่ใช้สื่อสารเพื่อสร้างความรู้และความตระหนักรู้ด้าน IT Risk" ให้เท่าทันกับเทคโนโลยีและความเสี่ยงที่เปลี่ยนแปลงไป</t>
  </si>
  <si>
    <t>ผู้ประกอบธุรกิจไม่มีกระบวนการการสร้างความรู้และความตระหนักด้าน IT Risk แก่กรรมการและบุคลากรอย่างต่อเนื่องและมีประสิทธิผล</t>
  </si>
  <si>
    <t>ผู้ประกอบธุรกิจมีการสร้างความรู้ด้าน IT Risk แก่กรรมการและบุคลากร แต่ยังไม่ครอบคลุมกรรมการและบุคลากรทุกคน</t>
  </si>
  <si>
    <t>ผู้ประกอบธุรกิจมีกระบวนการสร้างความรู้และความตระหนักด้าน IT Risk แก่กรรมการและบุคลากรอย่างต่อเนื่องและมีประสิทธิผล</t>
  </si>
  <si>
    <t>มีการจัดทำตาม Maturity Level 3 รวมถึงมีการวัดผล ประเมินผล 
เพื่อนำมาพัฒนากระบวนการสร้างความรู้และความตระหนักด้าน IT Risk</t>
  </si>
  <si>
    <t>มีการจัดทำตาม Maturity Level 4 รวมถึงมีการปรับปรุงองค์ความรู้ให้เท่าทันกับความเสี่ยงและเทคโนโลยีที่เปลี่ยนแปลงไป เพื่อนำไปสื่อสารให้กรรมการและบุคลากรมีความรู้และความตระหนักที่เป็นปัจจุบันอย่างต่อเนื่อง</t>
  </si>
  <si>
    <t>D1 #7</t>
  </si>
  <si>
    <t>1-2</t>
  </si>
  <si>
    <t>1.6 #1-2</t>
  </si>
  <si>
    <t>มีกระบวนการติดตาม ตรวจสอบ และจัดให้มีรายงานผลการปฏิบัติตามนโยบายในการกำกับดูแลและบริหารจัดการ IT ต่อคณะกรรมการของผู้ประกอบธุรกิจ หรือคณะกรรมการที่ได้รับมอบหมายจากคณะกรรมการของ ผู้ประกอบธุรกิจเฉพาะกรณีเป็นสาขาของธนาคารพาณิชย์ต่างประเทศ เมื่อมีเหตุการณ์สำคัญที่มีผลกระทบต่อการกำกับดูแลและบริหารจัดการ IT  หรือ อย่างน้อยปีละ 1 ครั้ง</t>
  </si>
  <si>
    <t xml:space="preserve">1.สัมภาษณ์คณะกรรมการของผู้ประกอบธุรกิจ หรือคณะกรรมการที่ได้รับมอบหมายจากคณะกรรมการของผู้ประกอบธุรกิจ หรือคณะกรรมการที่ได้รับมอบหมายจากคณะกรรมการของผู้ประกอบธุรกิจเฉพาะกรณีเป็นสาขาของธนาคารพาณิชย์ต่างประเทศ เกี่ยวกับกระบวนการติดตาม และจัดให้มีการรายงานผลการปฏิบัติตามนโยบายการกำกับดูแลและบริหารจัดการด้าน IT เพื่อให้มั่นใจว่ามีข้อมูลเพียงพอต่อการการกำกับดูแลอย่างเหมาะสม
2.สัมภาษณ์ผู้บริหารด้าน IT หรือผู้เกี่ยวข้องในกระบวนการรายงานผลการปฏิบัติตามนโยบายการกำกับดูแลและการบริหารจัดการด้าน IT เพื่อให้มั่นใจว่ามีการรายงานผลการปฏิบัติงานดังกล่าวต่อคณะกรรมการของผู้ประกอบธุรกิจ หรือคณะกรรมการที่ได้รับมอบหมายจากคณะกรรมการของผู้ประกอบธุรกิจเฉพาะกรณีเป็นสาขาของธนาคารพาณิชย์ต่างประเทศ ทราบโดยไม่ชักช้า
3. สอบทาน “รายงานการประชุมคณะกรรมการผู้ประกอบธุรกิจ” หรือ "รายงานการประชุมคณะกรรมการที่ได้รับมอบหมาย" กรณีที่ผู้ประกอบธุรกิจเป็นสาขาของธนาคารพาณิชย์ต่างประเทศ เพื่อให้มั่นใจว่ามีการติดตามและทบทวนการปฏิบัติตามนโยบายการกำกับดูแลและบริหารจัดการด้าน IT  อย่างน้อยปีละ 1 ครั้ง โดยประกอบไปด้วยหัวข้อดังต่อไปนี้
    (1) ผลการบริหารจัดการด้าน IT Risk โดยหน่วยงานที่ทำหน้าที่บริหารด้าน IT Risk หรือหน่วยงานที่เกี่ยวข้อง
    (2) ผลการปฏิบัติตามกฎระเบียบ ข้อบังคับ หรือนโยบายการรักษาความมั่นคงปลอดภัยด้าน IT ในภาพรวมขององค์กร โดยหน่วยงานที่ทำหน้าที่กำกับดูแลการปฏิบัติงานด้าน IT หรือหน่วยงานที่เกี่ยวข้อง
    (3) ผลการตรวจสอบด้าน IT (IT audit) (ถ้ามีการตรวจสอบในรอบปี) เช่น ผลการตรวจสอบด้าน IT ตามข้อกำหนด สธ. 38/2565  ผลการตรวจสอบด้าน IT ตามมาตรฐานอื่น ๆ  หรือผลการตรวจสอบสำหรับการใช้งานภายใน เป็นต้น และความคืบหน้าในการดำเนินการแก้ไขข้อบกพร่อง โดยหน่วยงานที่ทำหน้าที่ตรวจสอบด้าน IT หรือหน่วยงานที่เกี่ยวข้อง
    (4) ผลการปฏิบัติงานด้าน IT ที่สำคัญ เช่น
        (ก) เหตุการณ์ผิดปกติ หรือปัญหาด้าน IT ที่สำคัญ
        (ข) ความเพียงพอของทรัพยากรด้าน IT (capacity and system utilization)
        (ค) ความคืบหน้าของโครงการด้าน IT ในภาพรวมและโครงการที่สำคัญ
        (ง) การปฏิบัติงานด้าน IT ของบุคคลภายนอก
        (จ) ผลการทดสอบการปฏิบัติตามแผนฉุกเฉินด้าน IT </t>
  </si>
  <si>
    <t>ส่วนที่ 2 การกำกับดูแลและบริหารจัดการ IT Risk ในระดับองค์กร</t>
  </si>
  <si>
    <t>โครงสร้างการกำกับดูแล</t>
  </si>
  <si>
    <t>D1 #8</t>
  </si>
  <si>
    <t>2.1</t>
  </si>
  <si>
    <t>2.1 #1</t>
  </si>
  <si>
    <t>มีโครงสร้างการกำกับดูแลและบริหารจัดการ IT Risk ที่มีการถ่วงดุลอำนาจ (check and balance) และมีการแบ่งแยกหน้าที่ (segratation of duties) อย่างเหมาะสม ตามหลักการแบ่งแยกหน้าที่ 3 ระดับ  (3 Lines of Defense : 3 LoDs) โดยมีการแบ่งแยกหน้าที่อย่างชัดเจน ดังนี้
    (1) ระดับที่ 1 (first line of defense) : การปฏิบัติงาน
    (2) ระดับที่ 2 (second line of defense) : การบริหารความเสี่ยงและกำกับดูแลการปฏิบัติตามกฎหมายและหลักเกณฑ์ที่เกี่ยวข้อง
    (3) ระดับที่ 3 (third line of defense) : การตรวจสอบ</t>
  </si>
  <si>
    <t>1. สัมภาษณ์คณะกรรมการของผู้ประกอบธุรกิจหรือคณะกรรมการที่ได้รับมอบหมายจากคณะกรรมการของผู้ประกอบธุรกิจด้านการจัดโครงสร้างองค์กรเพื่อให้มั่นใจว่ามีการถ่วงดุลอย่างอิสระ (check and balance) และมีการแบ่งแยกหน้าที่ (segregation of duties) อย่างเหมาะสม ตามหลักการแบ่งแยกหน้าที่ 3 ระดับด้านการบริหารจัดการ IT Risk
2. สอบทาน “แผนผังองค์กรของบริษัท และแผนผังองค์กรสารสนเทศ” เพื่อให้มั่นใจว่ามีการกำหนดหน่วยงานจัดโครงสร้างองค์กร ตามหลักการถ่วงดุลอำนาจ (check and balance) และมีการแบ่งแยกหน้าที่ (segratation of duties) 3 ระดับ</t>
  </si>
  <si>
    <t>D1 #9</t>
  </si>
  <si>
    <t>2</t>
  </si>
  <si>
    <t>2.1 #2</t>
  </si>
  <si>
    <t xml:space="preserve">จัดให้มีกรรมการของผู้ประกอบธุรกิจ หรือที่ปรึกษาของผู้ประกอบธุรกิจ อย่างน้อย 1 ท่านที่มีความรู้หรือประสบการณ์ด้าน IT เพื่อให้คณะกรรมการสามารถกำหนดทิศทางและกำกับดูแลให้มีการใช้ IT ให้สอดรับกับกลยุทธ์ในการดำเนินธุรกิจ และบริหารจัดการด้าน IT Risk ได้อย่างมีประสิทธิภาพ </t>
  </si>
  <si>
    <t xml:space="preserve">1. สอบทานกระบวนการสรรหาหรือคุณสมบัติของกรรมการของผู้ประกอบธุรกิจ หรือที่ปรึกษาของผู้ประกอบธุรกิจทางด้าน IT  เพื่อให้มั่นใจว่ากรรมการหรือที่ปรึกษาอย่างน้อย 1 ท่าน ที่มีความรู้หรือประสบการณ์ด้าน IT โดยพิจารณาได้จาก
    (1) สำเร็จการศึกษาในสาขา IT หรือสาขาที่เกี่ยวข้อง หรือ
    (2) มีประสบการณ์ในตำแหน่งหัวหน้าหน่วยงาน หรือมีหน้าที่รับผิดชอบเป็นผู้บริหารงานหลัก หรือมีประสบการณ์ในด้านการให้คำปรึกษาที่เกี่ยวข้องด้าน IT หรือ
    (3) มีประสบการณ์หรือได้รับแต่งตั้งเป็นสมาชิกในคณะกรรมการหรือคณะทำงานที่เกี่ยวข้องด้าน IT
    กรณีที่คณะกรรมการของผู้ประกอบธุรกิจแต่งตั้งคณะกรรมการชุดย่อยเพื่อทำหน้าที่ให้คำปรึกษาด้าน IT แก่คณะกรรมการของผู้ประกอบธุรกิจ ผู้ประกอบธุรกิจควรกำหนดบทบาทหน้าที่คณะกรรมการชุดย่อยอย่างชัดเจนและเป็นลายลักษณ์อักษร โดยคณะกรรมการชุดย่อยควรประกอบด้วยกรรมการที่มีความรู้หรือประสบการณ์ด้าน IT อย่างน้อย 1 ท่าน </t>
  </si>
  <si>
    <t>D1 #10</t>
  </si>
  <si>
    <t>3</t>
  </si>
  <si>
    <t>2.1 #3</t>
  </si>
  <si>
    <t>จัดให้มีผู้บริหารระดับสูง(chief information security officer : CISO)หรือผู้บริหารที่รับผิดชอบในการบริหารจัดการความมั่นคงปลอดภัยด้าน IT มีคุณสมบัติและอำนาจหน้าที่ที่เหมาะสม</t>
  </si>
  <si>
    <t>1. สัมภาษณ์ คณะกรรมการของผู้ประกอบธุรกิจหรือคณะกรรมการที่ได้รับมอบหมายจากคณะกรรมการของผู้ประกอบธุรกิจ เกี่ยวกับโครงสร้างองค์กร โครงสร้างของฝ่ายงาน IT ขั้นตอนการกำหนดบทบาท หน้าที่และความรับผิดชอบให้กับหน่วยงานที่เกี่ยวข้องตามข้อกำหนด รวมถึงการตรวจสอบคุณสมบัติ ประสบการณ์ และความเชี่ยวชาญของบุคลากรดังกล่าว
2. สอบทานคุณสมบัติและอำนาจหน้าที่ของผู้บริหารระดับสูง (chief information security officer : CISO) หรือผู้บริหารที่รับผิดชอบในการบริหารจัดการความมั่นคงปลอดภัยด้าน IT ดังนี้
    (1) มีความเป็นอิสระจากหน่วยงานที่ทำหน้าที่ปฏิบัติงานด้าน IT (IT operation) และงานด้านพัฒนาระบบด้าน IT (IT development) สอดคล้องตามหลักการถ่วงดุล (check and balance) ที่ดี
    (2) เป็นผู้ที่มีความรู้ความสามารถหรือมีประสบการณ์ด้าน IT และด้านการบริหารจัดการความมั่นคงปลอดภัยด้าน IT และ
    (3) มีอำนาจหน้าที่ (authority) เพียงพอในการปฏิบัติหน้าที่ได้อย่างมีประสิทธิภาพและประสิทธิผล โดยสามารถ ดำเนินการอย่างน้อย ดังนี้
        (ก) รายงานปัญหาหรือเหตุการณ์ที่มีนัยสำคัญซึ่งกระทบต่อความมั่นคงปลอดภัยด้าน IT ต่อผู้บริหารในตำแหน่งสูงสุดขององค์กร และคณะกรรมการที่เกี่ยวข้องโดยตรง
        (ข) ให้ความเห็นด้านภัยคุกคามทางไซเบอร์และการบริหารจัดการความเสี่ยงด้านความมั่นคงปลอดภัยด้าน IT ต่อคณะกรรมการของผู้ประกอบธุรกิจ หรือ คณะกรรมการที่เกี่ยวข้องกับการบริหารจัดการและ กำกับดูแลการปฏิบัติงานด้าน IT และร่วมตัดสินใจดำเนินการในเรื่องความมั่นคงปลอดภัยด้าน IT และ ภัยคุกคามทางไซเบอร์ที่มีผลกระทบอย่างมีนัยสำคัญ</t>
  </si>
  <si>
    <t>D1 #11</t>
  </si>
  <si>
    <t>4</t>
  </si>
  <si>
    <t>2.1 #4</t>
  </si>
  <si>
    <r>
      <t>คณะกรรมการของผู้ประกอบธุรกิจ</t>
    </r>
    <r>
      <rPr>
        <u/>
        <sz val="10"/>
        <rFont val="Tahoma"/>
        <family val="2"/>
        <scheme val="major"/>
      </rPr>
      <t>อาจ</t>
    </r>
    <r>
      <rPr>
        <sz val="10"/>
        <rFont val="Tahoma"/>
        <family val="2"/>
        <scheme val="major"/>
      </rPr>
      <t xml:space="preserve">แต่งตั้งคณะกรรมการเพื่อทำหน้าที่ที่เกี่ยวข้องกับการกำกับดูแลด้าน IT Risk </t>
    </r>
  </si>
  <si>
    <t>1. สอบทาน "เอกสารแต่งตั้งคณะกรรมการหรือคณะทำงานเกี่ยวกับการกำกับดูแลด้าน IT Risk" เพื่อให้มั่นใจว่ามีการกำหนดอำนาจ หน้าที่ และความรับผิดชอบของคณะทำงานด้านการกำกับดูแลด้าน IT Risk เพียงพอต่อการกำกับดูแลด้าน IT Risk เช่น
    (1) คณะกรรมการกำกับดูแลและบริหารจัดการด้าน IT (เช่น IT steering committee หรือคณะกรรมการที่ได้รับ มอบหมาย เป็นต้น) เพื่อดูแลให้มีการใช้งาน IT ที่สอดคล้องกับกลยุทธ์ของผู้ประกอบธุรกิจ
    (2) คณะกรรมการกำกับดูแลการบริหารความเสี่ยงด้าน  IT (เช่น คณะกรรมการบริหารความเสี่ยง  หรือ คณะกรรมการที่ได้รับมอบหมาย เป็นต้น) เพื่อดูแลให้มีการกำหนดนโยบายการบริหาร IT Risk รวมทั้ง กำกับดูแลและติดตามให้เป็นไปตามนโยบายที่กำหนดไว้
    (3) คณะกรรมการกำกับดูแลการตรวจสอบด้าน IT (เช่น คณะกรรมการตรวจสอบ หรือคณะกรรมการที่ได้รับ มอบหมาย เป็นต้น) เพื่อให้ผู้ประกอบธุรกิจมีการตรวจสอบด้าน IT อย่างเป็นอิสระ ครอบคลุมถึงการปฏิบัติงานการบริหาร IT Risk และการกำกับดูแลการปฏิบัติตามกฎหมายและหลักเกณฑ์ที่เกี่ยวข้องกับ IT
กรณีที่ไม่มีการแต่งตั้งคณะกรรมการใด ๆ เนื่องจากไม่มีความจำเป็นในบริบทขององค์กร ให้ผลการประเมินเป็น N/A</t>
  </si>
  <si>
    <t>นโยบายที่เกี่ยวข้องกับการกำกับดูแล IT Risk</t>
  </si>
  <si>
    <t>D1 #12</t>
  </si>
  <si>
    <t>2.2</t>
  </si>
  <si>
    <t>มีการจัดทำนโยบายการบริหารจัดการด้าน IT Risk (IT risk management policy) เป็นลายลักษณ์อักษร โดยต้องได้รับความเห็นชอบจากคณะกรรมการของผู้ประกอบธุรกิจหรือคณะกรรมการที่ได้รับมอบหมายจากคณะกรรมการของผู้ประกอบธุรกิจ</t>
  </si>
  <si>
    <t>1. สัมภาษณ์ ผู้บริหารหน่วยงานที่เกี่ยวข้องเกี่ยวกับขั้นตอนการจัดทำ ปรับปรุง และสื่อสารนโยบายการบริหารจัดการด้าน IT Risk (IT risk management policy)
2. สอบทาน “นโยบายการบริหารจัดการด้าน IT Risk (IT risk management policy)” เพื่อให้มั่นใจว่ามีการจัดทำนโยบายที่เกี่ยวข้องกับการกำกับดูแลด้าน IT Risk ที่สอดคล้องกับมาตรฐานที่เกี่ยวข้องเป็นลายลักษณ์อักษร และได้รับการอนุมัติโดยคณะกรรมการของผู้ประกอบธุรกิจ หรือคณะกรรมการที่ได้รับมอบหมายจากคณะกรรมการของผู้ประกอบธุรกิจ</t>
  </si>
  <si>
    <t>D1 #13</t>
  </si>
  <si>
    <t>2.2.1</t>
  </si>
  <si>
    <t>มีการจัดทำนโยบายการบริหารจัดการด้าน IT Risk (IT risk management policy) เป็นลายลักษณ์อักษร โดยต้องได้รับความเห็นชอบจากคณะกรรมการของผู้ประกอบธุรกิจหรือคณะกรรมการที่ได้รับมอบหมายจากคณะกรรมการของผู้ประกอบธุรกิจ อย่างน้อยต้องครอบคลุมในเรื่องดังนี้
    (1) บทบาทหน้าที่ของผู้ที่เกี่ยวข้องในการบริหารจัดการด้าน IT Risk 
    (2) กระบวนการบริหารจัดการด้าน IT Risk เพื่อให้อยู่ในระดับที่องค์กรยอมรับได้</t>
  </si>
  <si>
    <t>1. สอบทาน “นโยบายการบริหารจัดการด้าน IT Risk (IT risk management policy)” เพื่อให้มั่นใจว่านโยบายที่เกี่ยวข้องกับการกำกับดูแลด้าน IT Risk มีเนื้อหาครอบคลุมอย่างน้อย ดังนี้
    (1) บทบาทหน้าที่ของผู้ที่เกี่ยวข้องในการบริหารจัดการ IT Risk 
    (2) กระบวนการบริหารจัดการด้าน IT Risk เพื่อให้อยู่ในระดับที่องค์กรยอมรับได้</t>
  </si>
  <si>
    <t>D1 #14</t>
  </si>
  <si>
    <t>2.2.1(2)</t>
  </si>
  <si>
    <t>2.2.1(2) #1</t>
  </si>
  <si>
    <t xml:space="preserve">มีการจัดทำเกณฑ์ความเสี่ยง (risk criteria) ที่ครอบคลุมถึงโอกาสหรือความถี่ที่จะเกิดเหตุการณ์ความเสี่ยง  และความมีนัยสำคัญหรือผลกระทบที่จะเกิดขึ้นเพื่อจัดลำดับความสำคัญในการบริหารจัดการความเสี่ยง </t>
  </si>
  <si>
    <t xml:space="preserve">1. สอบทาน นโยบายการบริหารจัดการด้าน IT Risk (IT risk management policy  ในหัวข้อ "เกณฑ์ความเสี่ยง (risk criteria)" เพื่อให้มั่นใจว่าเกณฑ์ครอบคลุมถึงโอกาสหรือความถี่ที่จะเกิดเหตุการณ์ความเสี่ยง (likelihood) และความมีนัยสำคัญหรือผลกระทบที่จะเกิดขึ้นเพื่อจัดลำดับความสำคัญในการบริหารจัดการความเสี่ยง (impact) </t>
  </si>
  <si>
    <t>D1 #15</t>
  </si>
  <si>
    <t>2.2.1(2) #2</t>
  </si>
  <si>
    <t>มีการกำหนดระดับความเสี่ยงที่ยอมรับได้ (IT risk appetite) ที่ผ่านการพิจารณาโดยคณะกรรมการบริหารความเสี่ยง (ถ้ามี) และได้รับการอนุมัติจากคณะกรรมการของผู้ประกอบธุรกิจ ทั้งนี้ ระดับความเสี่ยงที่ยอมรับได้ควรสอดคล้องกับการบริหารและจัดการความเสี่ยงขององค์กร (enterprise risk management) (ถ้ามี)</t>
  </si>
  <si>
    <t>1. สอบทาน นโยบายการบริหารจัดการด้าน IT Risk (IT risk management policy  ในหัวข้อ "ระดับความเสี่ยงที่ยอมรับได้ (IT risk appetite)" เพื่อให้มั่นใจว่าผ่านการพิจารณาโดยคณะกรรมการบริหารความเสี่ยง (ถ้ามี) และได้รับการอนุมัติจากคณะกรรมการของผู้ประกอบธุรกิจ ทั้งนี้ ระดับความเสี่ยงที่ยอมรับได้ควรสอดคล้องกับการบริหารและจัดการความเสี่ยงขององค์กร (enterprise risk management) (ถ้ามี)</t>
  </si>
  <si>
    <t>D1 #16</t>
  </si>
  <si>
    <t>2.2.1(2) #3</t>
  </si>
  <si>
    <t xml:space="preserve"> มีการจัดทำกระบวนการบริหารจัดการด้าน IT Risk และมีการประเมินความเสี่ยงอย่างน้อยปีละ 1 ครั้ง และเมื่อมีการเปลี่ยนแปลงระบบ IT อย่างมีนัยสำคัญ โดยมีรายละเอียดอย่างน้อย ดังนี้
    (1) การระบุความเสี่ยง (risk identification)
    (2) การวิเคราะห์ความเสี่ยง (risk analysis)
    (3) การประเมินค่าความเสี่ยง (risk evaluation)
    (4) การจัดการความเสี่ยง (risk treatment)
    (5) การจัดทำทะเบียนความเสี่ยง (risk register)
    (6) การติดตามและทบทวนความเสี่ยง (risk monitor and review)
    (7) การรายงานความเสี่ยง (risk reporting)</t>
  </si>
  <si>
    <t xml:space="preserve">1. สอบทาน "นโยบายการบริหารจัดการด้าน IT Risk (IT risk management policy)" เพื่อให้มั่นใจว่ามีการประเมินความเสี่ยงอย่างน้อยปีละ 1 ครั้ง เมื่อมีการเปลี่ยนแปลงระบบ IT อย่างมีนัยสำคัญ และมีการจัดทำนโยบายดังกล่าวเพื่อให้ครอบคลุมหัวข้อที่สำคัญอย่างน้อยในเรื่องดังต่อไปนี้
    (1) การระบุความเสี่ยง (risk identification)
    (2) การวิเคราะห์ความเสี่ยง (risk analysis)
    (3) การประเมินค่าความเสี่ยง (risk evaluation)
    (4) การจัดการความเสี่ยง (risk treatment)
    (5) การจัดทำทะเบียนความเสี่ยง (risk register)
    (6) การติดตามและทบทวนความเสี่ยง (risk monitor and review)
    (7) การรายงานความเสี่ยง (risk reporting)
</t>
  </si>
  <si>
    <t>D1 #17</t>
  </si>
  <si>
    <t>การระบุความเสี่ยง (risk identification)
จัดให้มีการระบุเหตุการณ์ความเสี่ยง (risk scenario) ด้าน IT ที่อาจจะเกิดขึ้นหรือที่เคยเกิดขึ้นจริงกับผู้ประกอบธุรกิจเอง หรือเกิดกับผู้อื่นที่ใช้งาน IT ในลักษณะเดียวกัน รวมถึงภัยคุกคามทางไซเบอร์และช่องโหว่ต่าง ๆ ที่ส่งผลกระทบต่อการดำเนินธุรกิจ โดยเหตุการณ์ความเสี่ยงดังกล่าวอาจมีสาเหตุมาจากปัจจัยภายใน (internal factor) เช่น กระบวนการปฏิบัติงาน ระบบงาน บุคลากร เป็นต้น รวมถึงปัจจัยภายนอกอื่น ๆ (external factor) เช่น การปฏิบัติตามกฎหมาย การใช้บริการ การเชื่อมต่อ หรือการเข้าถึงข้อมูลจากบุคคลภายนอก เป็นต้น</t>
  </si>
  <si>
    <t>1. สอบทาน "ทะเบียนความเสี่ยง (risk register)" เพื่อให้มั่นใจว่ามีการระบุเหตุการณ์ความเสี่ยง (risk scenario) ครอบคลุมเหตุการณืที่อาจจะเกิดขึ้นหรือที่เคยเกิดขึ้นจริงกับผู้ประกอบธุรกิจเอง หรือเกิดกับผู้อื่นที่ใช้งาน IT ในลักษณะเดียวกัน รวมถึงภัยคุกคามทางไซเบอร์และช่องโหว่ต่าง ๆ อันมีสาเหตุมาจากทั้งปัจจัยภายในและภายนอก</t>
  </si>
  <si>
    <t>D1 #18</t>
  </si>
  <si>
    <t>การวิเคราะห์ความเสี่ยง (risk analysis)
จัดให้มีการวิเคราะห์ IT Risk เพื่อหาแนวทางในการจัดการความเสี่ยงอย่างเหมาะสม โดยครอบคลุมการดำเนินการอย่างน้อย ดังนี้
    (1) กำหนดผู้รับผิดชอบต่อความเสี่ยง หรือเจ้าของความเสี่ยง (risk owner)
    (2) ระบุการควบคุมที่มีอยู่ในปัจจุบัน (existing control)
    (3) วิเคราะห์โอกาสหรือความถี่ที่จะเกิดเหตุการณ์ความเสี่ยง (likelihood) และความมีนัยสำคัญหรือผลกระทบที่จะเกิดขึ้น (potential impact) จากเหตุการณ์ดังกล่าว</t>
  </si>
  <si>
    <t>1. สอบทาน "ทะเบียนความเสี่ยง (risk register)" เพื่อให้มั่นใจว่ามีการวิเคราะห์ IT Risk อย่างเหมาะสมโดยพิจารณาดังนี้
    (1) มีการกำหนดผู้รับผิดชอบต่อความสี่ยง หรือเจ้าของความเสี่ยง (risk owner) ครบทุกเหตุการณ์ความเสี่ยง (Risk Scenario)
    (2) มีการระบุการควบคุมที่มีอยู่ในปัจจุบัน (existing control)
    (3) มีการวิเคราะห์โอกาสหรือความถี่ที่จะเกิดเหตุการณ์ความเสี่ยง (likelihood) และความมีนัยสำคัญหรือผลกระทบที่จะเกิดขึ้น (potential impact) จากเหตุการณ์ดังกล่าวโดยอ้างอิงเกณฑ์ความเสี่ยง (risk criteria) ของบริษัท</t>
  </si>
  <si>
    <t>D1 #19</t>
  </si>
  <si>
    <t>การประเมินค่าความเสี่ยง (risk evaluation) 
จัดให้มีประเมินค่า IT Risk เพื่อจัดลำดับในการบริหารความเสี่ยงอย่างเหมาะสม โดยครอบคลุมการดำเนินการอย่างน้อย ดังนี้
    (1) ประเมินผลลัพธ์ที่ได้จากการวิเคราะห์ความเสี่ยง ได้แก่ ค่าโอกาสและผลกระทบ (likelihood และ potential impact) กับเกณฑ์ความเสี่ยง (risk criteria) ที่กำหนดไว้ เพื่อระบุระดับค่าความเสี่ยงของแต่ละเหตุการณ์ด้าน IT Risk
    (2) จัดลำดับด้าน IT Risk</t>
  </si>
  <si>
    <t>1. สอบทาน นโยบายการบริหารจัดการด้าน IT Risk (IT risk management policy และ "เอกสารผลการประเมินด้าน IT Risk"  ที่เกี่ยวข้องกับ " การประเมินค่าความเสี่ยง (risk evaluation)" เพื่อให้มั่นใจว่า มีการประเมินค่าด้าน IT Risk เพื่อจัดลำดับในการบริหารความเสี่ยงอย่างเหมาะสม โดยครอบคลุมการดำเนินการอย่างน้อย ดังนี้
    (1) ประเมินผลลัพธ์ที่ได้จากการวิเคราะห์ความเสี่ยง ได้แก่ ค่าโอกาสและผลกระทบ (likelihood และ potential impact) กับเกณฑ์ความเสี่ยง (risk criteria) ที่กำหนดไว้ เพื่อระบุระดับค่าความเสี่ยงของแต่ละเหตุการณ์ IT Risk
    (2) จัดลำดับด้าน IT Risk
2. สอบทาน "ทะเบียนความเสี่ยง (risk register)" เพื่อให้มั่นใจว่ามีการประเมินค่า IT Risk เพื่อจัดลำดับในการบริหารความเสี่ยงอย่างเหมาะสม โดยพิจารณาดังนี้
    (1) มีการประเมินผลลัพธ์ที่ได้จากการวิเคราะห์ความเสี่ยง เพื่อระบุระดับค่าความเสี่ยงของแต่ละเหตุการณ์ IT Risk
    (2) มีการจัดลำดับด้าน IT Risk</t>
  </si>
  <si>
    <t>D1 #20</t>
  </si>
  <si>
    <t>2.2.1(2) #4</t>
  </si>
  <si>
    <t>มีการประเมินด้าน IT Risk ให้เท่าทันต่อการเปลี่ยนแปลงความเสี่ยงขององค์กร (company risk profile) อันอาจจะเกิดจากปัจจัยทั้งภายในและภายนอกองค์กร เช่น การออกผลิตภัณฑ์ใหม่ การเปลี่ยนแปลงมาตรฐานและข้อกำหนดทางด้าน IT ในอุตสาหกรรม หรือการตรวจพบหรือมีข้อบ่งชี้ด้านความเสี่ยงทางด้าน  IT ใหม่เกิดขึ้น เป็นต้น</t>
  </si>
  <si>
    <t>1. สอบทาน นโยบายการบริหารจัดการด้าน IT Risk (IT risk management policy) หรือวิธีปฏิบัติในการบริหารจัดการความเสี่ยง เพื่อให้มั่นใจว่า บริษัทจัดให้มีการประเมินด้าน IT Risk ให้เท่าทันต่อการเปลี่ยนแปลงความเสี่ยงขององค์กร (company risk profile) อันอาจจะเกิดจากปัจจัยทั้งภายในและภายนอกองค์กร เช่น การออกผลิตภัณฑ์ใหม่ การเปลี่ยนแปลงมาตรฐานและข้อกำหนดทางด้าน IT ในอุตสาหกรรม หรือการตรวจพบหรือมีข้อบ่งชี้ด้านความเสี่ยงทางด้าน  IT ใหม่เกิดขึ้น เป็นต้น</t>
  </si>
  <si>
    <t>D1 #21</t>
  </si>
  <si>
    <t>5</t>
  </si>
  <si>
    <t>2.2.1(2) #5</t>
  </si>
  <si>
    <t>การจัดการความเสี่ยง (risk treatment) 
มีการกำหนดให้มีแนวทางในการจัดการด้าน IT Risk อย่างเหมาะสมและสอดคล้องกับผลการประเมินความเสี่ยง (risk assessment) เพื่อให้ความเสี่ยงที่เหลืออยู่ (residual risk) อยู่ในระดับความเสี่ยงที่ยอมรับได้ (risk appetite) โดยครอบคลุมการดำเนินการอย่างน้อย ดังนี้
    (1) การกำหนดแนวทางในการจัดการความเสี่ยง โดยพิจารณาถึงความคุ้มค่าและวิธีการที่เหมาะสมกับผู้ประกอบธุรกิจ เช่น การหยุดหรือหลีกเลี่ยงความเสี่ยง (risk avoidance) การลดหรือบรรเทาความเสี่ยง (risk mitigation) การโอนย้ายความเสี่ยงให้กับผู้อื่น (risk transference) และการยอมรับความเสี่ยงโดยการเสนอเหตุผลผู้บริหารเพื่อตัดสินใจ (risk acceptance) เป็นต้น
    (2) การระบุรายละเอียดของงานที่ต้องดำเนินการ ผู้รับผิดชอบ และระยะเวลาที่ใช้ในการดำเนินการ
    (3) การประเมินระดับค่าความเสี่ยงที่เหลืออยู่ (residual risk) ว่าอยู่ในระดับความเสี่ยงที่ยอมรับได้
    (4) การขออนุมัติแผนการบริหารจัดการความเสี่ยงจากคณะกรรมการหรือผู้บริหารระดับสูงที่ได้รับมอบหมาย
    (5) การสื่อสารแผนการบริหารจัดการความเสี่ยงให้ผู้ที่เกี่ยวข้องรับทราบ</t>
  </si>
  <si>
    <t>1. สอบทาน นโยบายการบริหารจัดการด้าน IT Risk (IT risk management policy และ "เอกสารผลการประเมินด้าน IT Risk"  ที่เกี่ยวข้องกับ "การจัดการความเสี่ยง (risk treatment)" เพื่อให้มั่นใจว่า มีแนวทางในการจัดการด้าน IT Risk อย่างเหมาะสมและสอดคล้องกับผลการประเมินความเสี่ยง (risk assessment) หลังได้รับการรับรองจากเจ้าของความเสี่ยง เพื่อให้ความเสี่ยงที่เหลืออยู่ (residual risk) อยู่ในระดับความเสี่ยงที่ยอมรับได้ (risk appetite) โดยครอบคลุมการดำเนินการอย่างน้อย ดังนี้
    (1) การกำหนดแนวทางในการจัดการความเสี่ยง โดยพิจารณาถึงความคุ้มค่าและวิธีการที่เหมาะสมกับผู้ประกอบธุรกิจ    
    (2) การระบุรายละเอียดของงานที่ต้องดำเนินการ ผู้รับผิดชอบ และระยะเวลาที่ใช้ในการดำเนินการ
    (3) การประเมินระดับค่าความเสี่ยงที่เหลืออยู่ (residual risk) ว่าอยู่ในระดับความเสี่ยงที่ยอมรับได้
    (4) การขออนุมัติแผนการบริหารจัดการความเสี่ยงจากคณะกรรมการหรือผู้บริหารระดับสูงที่ได้รับมอบหมาย
    (5) การสื่อสารแผนการบริหารจัดการความเสี่ยงให้ผู้ที่เกี่ยวข้องรับทราบ
2. สอบทาน "ทะเบียนความเสี่ยง (risk register)" หรือเอกสารเกี่ยวกับแผนการจัดการความเสี่ยง (risk treatment plan) เพื่อให้มั่นใจว่ามีการจัดการด้าน IT Risk อย่างเหมาะสมและสอดคล้องกับผลการประเมินความเสี่ยง (risk assessment) เพื่อให้ความเสี่ยงที่เหลืออยู่ (residual risk) อยู่ในระดับความเสี่ยงที่ยอมรับได้ (risk appetite) โดยพิจารณาดังนี้
    (1) มีการกำหนดแนวทางในการจัดการความเสี่ยง โดยพิจารณาถึงความคุ้มค่าและวิธีการที่เหมาะสมกับผู้ประกอบธุรกิจ เช่น การหยุดหรือหลีกเลี่ยงความเสี่ยง (risk avoidance) การลดหรือบรรเทาความเสี่ยง (risk mitigation) การโอนย้ายความเสี่ยงให้กับผู้อื่น (risk transference) และการยอมรับความเสี่ยงโดยการเสนอเหตุผลผู้บริหารเพื่อตัดสินใจ (risk acceptance) เป็นต้น
    (2) มีการระบุรายละเอียดของงานที่ต้องดำเนินการ ผู้รับผิดชอบ และระยะเวลาที่ใช้ในการดำเนินการ
    (3) มีการประเมินระดับค่าความเสี่ยงที่เหลืออยู่ (residual risk) ว่าอยู่ในระดับความเสี่ยงที่ยอมรับได้
    (4) มีการขออนุมัติแผนการบริหารจัดการความเสี่ยงจากคณะกรรมการหรือผู้บริหารระดับสูงที่ได้รับมอบหมาย
    (5) มีการสื่อสารแผนการบริหารจัดการความเสี่ยงให้ผู้ที่เกี่ยวข้องรับทราบ</t>
  </si>
  <si>
    <t>D1 #22</t>
  </si>
  <si>
    <t>6</t>
  </si>
  <si>
    <t>2.2.1(2) #6</t>
  </si>
  <si>
    <t>การจัดทำทะเบียนความเสี่ยง (risk register) ควรจัดให้มีทะเบียนความเสี่ยง (risk register) เพื่อบันทึกผลการประเมินความเสี่ยง และแนวทางในการจัดการความเสี่ยง โดยมีตัวอย่างรายละเอียด ดังนี้
    (1) วันที่ประเมินความเสี่ยง
    (2) รายละเอียดเหตุการณ์ความเสี่ยง
    (3) โอกาสหรือความถี่ที่จะเกิดเหตุการณ์ความเสี่ยง (likelihood)
    (4) ความมีนัยสำคัญหรือผลกระทบที่จะเกิดขึ้น (potential impact)
    (5) ระดับค่าความเสี่ยงก่อนการควบคุม (inherent risk)
    (6) แนวทางจัดการความเสี่ยง (risk treatment)
    (7) เจ้าของความเสี่ยง (risk owner)
    (8) ระดับความเสี่ยงที่เหลืออยู่ (residual risk)
    (9) สถานะของการจัดการความเสี่ยง (status of risk treatment)</t>
  </si>
  <si>
    <t>1. สอบทาน "เอกสารผลการประเมินด้าน IT Risk"  หรือ "ทะเบียนความเสี่ยง (risk register)" เพื่อให้มั่นใจว่า มีการบันทึกผลการประเมินความเสี่ยง และแนวทางในการจัดการความเสี่ยง โดยมีตัวอย่างรายละเอียด ดังนี้
    (1) วันที่ประเมินความเสี่ยง
    (2) รายละเอียดเหตุการณ์ความเสี่ยง
    (3) โอกาสหรือความถี่ที่จะเกิดเหตุการณ์ความเสี่ยง (likelihood)
    (4) ความมีนัยสำคัญหรือผลกระทบที่จะเกิดขึ้น (potential impact)
    (5) ระดับค่าความเสี่ยงก่อนการควบคุม (inherent risk)
    (6) แนวทางจัดการความเสี่ยง (risk treatment)
    (7) เจ้าของความเสี่ยง (risk owner)
    (8) ระดับความเสี่ยงที่เหลืออยู่ (residual risk)
    (9) สถานะของการจัดการความเสี่ยง (status of risk treatment)</t>
  </si>
  <si>
    <t>D1 #23</t>
  </si>
  <si>
    <t>7</t>
  </si>
  <si>
    <t>2.2.1(2) #7</t>
  </si>
  <si>
    <t>การติดตามและทบทวนความเสี่ยง (risk monitor and review) ควรจัดให้มีกระบวนการติดตามและทบทวน IT Risk โดยครอบคลุมการดำเนินการ ดังนี้
    (1) การกำหนดผู้รับผิดชอบในการติดตามและทบทวนความเสี่ยง
    (2) การกำหนดดัชนีชี้วัดด้าน IT Risk ที่สำคัญ (IT key risk indicator) เพื่อให้สามารถติดตามแนวโน้มของ ความเสี่ยง และสามารถทบทวนมาตรการควบคุมความเสี่ยงได้อย่างมีประสิทธิภาพ
    (3) การติดตามความคืบหน้าของการดำเนินงานตามแผนการบริหารจัดการด้าน IT Risk</t>
  </si>
  <si>
    <t>1. สอบทาน "นโยบายการบริหารจัดการด้าน IT Risk (IT risk management policy)" เพื่อให้มั่นใจว่า มีกระบวนการติดตามและทบทวน IT Risk โดยครอบคลุมการดำเนินการ ดังนี้
    (1) การกำหนดผู้รับผิดชอบในการติดตามและทบทวนความเสี่ยง
    (2) การติดตามความคืบหน้าของการดำเนินงานตามแผนการบริหารจัดการด้าน IT Risk
2. สอบทาน "หลักฐานการติดตามและทบทวนความเสี่ยง" เช่น "ดัชนีชี้วัดด้าน IT Risk ที่สำคัญ (IT key risk indicator)"  เป็นต้น เพื่อให้มั่นใจว่าบริษัทมีการติดตามและทบทวนความเสี่ยงตามนโยบายที่กำหนดไว้</t>
  </si>
  <si>
    <t>D1 #24</t>
  </si>
  <si>
    <t>8</t>
  </si>
  <si>
    <t>2.2.1(2) #8</t>
  </si>
  <si>
    <t>การรายงานความเสี่ยง (risk reporting) ควรจัดให้มีการรายงานผลการประเมิน IT Risk และผลการบริหารจัดการ IT Risk ต่อคณะกรรมการของผู้ประกอบธุรกิจอย่างน้อยปีละ 1 ครั้ง</t>
  </si>
  <si>
    <t>1. สอบทาน "รายงานผลการประเมินความเสี่ยง" และ "รายงานผลการบริหารจัดการความเสี่ยง" เพื่อให้มั่นใจว่ามีการรายงานผลการประเมินด้าน IT Risk และผลการบริหารจัดการ IT Risk ต่อคณะกรรมการของผู้ประกอบธุรกิจ หรือ (ถ้ามี) คณะกรรมการตรวจสอบ อย่างน้อยปีละ 1 ครั้ง</t>
  </si>
  <si>
    <t>D1 #25</t>
  </si>
  <si>
    <t>2.2.2</t>
  </si>
  <si>
    <t xml:space="preserve">นโยบายการรักษาความมั่นคงปลอดภัยด้าน IT (IT security policy) อย่างน้อยต้องครอบคลุมในเรื่องดังนี้
    (1) โครงสร้างการบริหารงานเพื่อการรักษาความมั่นคงปลอดภัยด้าน IT 
    (2) การบริหารจัดการบุคลากรที่ปฏิบัติงานด้าน IT หรือบุคคลภายนอก
    (3) การบริหารจัดการทรัพย์สินด้าน IT 
    (4) การรักษาความมั่นคงปลอดภัยของข้อมูล 
    (5) การควบคุมการเข้าถึงและระบบ IT
    (6) การควบคุมการเข้ารหัส 
    (7) การรักษาความมั่นคงปลอดภัยทางกายภาพและสภาพแวดล้อม 
    (8) มาตรการรักษาความมั่นคงปลอดภัยในการปฏิบัติงานด้าน IT 
    (9) มาตรการรักษาความมั่นคงปลอดภัยเกี่ยวกับระบบเครือข่ายสื่อสาร 
    (10) การบริหารจัดการโครงการด้าน IT และการจัดหา พัฒนาและบำรุงรักษาระบบ IT
    (11) การบริหารจัดการเหตุการณ์ผิดปกติด้าน IT และปัญหาด้าน IT
    (12) การจัดทำแผนฉุกเฉินด้าน IT </t>
  </si>
  <si>
    <t xml:space="preserve">1. สอบทาน “นโยบายการรักษาความมั่นคงปลอดภัยด้าน IT (IT security policy)” เพื่อให้มั่นใจว่ามีการจัดทำครอบคลุมทั้ง 12 หัวข้อ อย่างเป็นลายลักษณ์อักษร และได้รับการอนุมัติโดยคณะกรรมการของผู้ประกอบธุรกิจ หรือคณะกรรมการที่ได้รับมอบหมายจากคณะกรรมการของผู้ประกอบธุรกิจ
</t>
  </si>
  <si>
    <t>D1 #26</t>
  </si>
  <si>
    <t>2.3.1</t>
  </si>
  <si>
    <t>2.3.1 #1</t>
  </si>
  <si>
    <t>มีกระบวนการสื่อสารสร้างความตระหนักและทราบถึงนโยบายการบริหารจัดการ IT Risk และนโยบายการรักษาความมั่นคงปลอดภัยด้าน IT ของบริษัท เพื่อให้มั่นใจว่าพนักงานในบริษัท รวมถึงผู้ที่เกี่ยวข้องรับทราบตามบทบาทหน้าที่ ความรับผิดชอบ และสิทธิการเข้าถึงข้อมูล ในลักษณะที่สามารถเข้าถึงได้ง่าย และจะปฏิบัติตามนโยบายดังกล่าว ของบริษัท เช่น การลงนามรับทราบ การอบรม หรือ การตอบรับต่างๆ ให้แก่บุคคลที่เกี่ยวข้องรับทราบ</t>
  </si>
  <si>
    <t>1. สัมภาษณ์ผู้บริหารด้าน IT  คณะกรรมการของผู้ประกอบธุรกิจหรือคณะกรรมการที่ได้รับมอบหมายจากคณะกรรมการของผู้ประกอบธุรกิจ เกี่ยวกับการสื่อสารและสร้างความตระหนักถึงการปฏิบัติตามนโยบายในการกำกับดูแลและบริหารจัดการ IT เพื่อให้มั่นใจว่ามีการสื่อสารนโยบายให้บุคคลที่เกี่ยวข้องเข้าใจและสามารถปฏิบัติตามนโยบายฯ ได้อย่างถูกต้อง
2. สอบทานเอกสารการประกาศใช้งานนโยบายในการกำกับดูแลและบริหารจัดการ IT  ประกอบด้วย
    (1) นโยบายการบริหารจัดการ IT Risk (IT risk management policy)
    (2) นโยบายการรักษาความมั่นคงปลอดภัยด้าน IT (IT security policy)
3. สอบทาน “หลักฐานการรับทราบนโยบายการกำกับดูแลและบริหารจัดการ IT ของบริษัท” เพื่อให้มั่นใจว่าพนักงานในบริษัท รวมถึงผู้ที่เกี่ยวข้องรับทราบนโยบายและยอมรับที่จะปฏิบัติตามนโยบายดังกล่าว ตามบทบาทหน้าที่ ความรับผิดชอบ และสิทธิการเข้าถึงข้อมูล เช่น เอกสารลงนามในกรณีเป็นการลงนามรับทราบ เอกสารลงนามเข้าอบรมในกรณีเป็นการสื่อสารผ่านการอบรม อีเมลหรือรายงานทางอิเล็กทรอนิกส์ ในกรณีเป็นการตอบรับผ่านอีเมล หรือ เวบไซต์ภายในองค์กร ฯลฯ</t>
  </si>
  <si>
    <t>D1 #27</t>
  </si>
  <si>
    <t>สื่อสารนโยบายให้กับบุคคลภายนอก โดยพิจารณาถึงรายละเอียดที่บุคคลภายนอกควรรู้เพื่อให้สามารถปฏิบัติงานได้สอดคล้องกับนโยบายของผู้ประกอบธุรกิจ โดยคำนึงถึงความลับของการเปิดเผยข้อมูลด้วย</t>
  </si>
  <si>
    <t xml:space="preserve">1. สัมภาษณ์ คณะกรรมการของผู้ประกอบธุรกิจหรือคณะกรรมการที่ได้รับมอบหมายจากคณะกรรมการของผู้ประกอบธุรกิจ เกี่ยวกับนโยบายการบริหารจัดการ IT Risk และนโยบายการรักษาความมั่นคงปลอดภัยที่บุคคลภายนอกควรรรับทราบ รวมถึงกระบวนการสื่อสารนโยบายไปยังบุคคลดังกล่าว
2. สอบทาน "หลักฐานการสื่อสารนโยบายให้กับบุคคลภายนอก" เช่น ช่องทางอีเมล หรือเอกสารแนบท้ายของสัญญา เป็นต้น </t>
  </si>
  <si>
    <t>D1 #28</t>
  </si>
  <si>
    <t>2.3.2</t>
  </si>
  <si>
    <t>2.3.2 #1</t>
  </si>
  <si>
    <t>มีการจัดทำและอนุมัติรายละเอียดขั้นตอนและวิธีปฏิบัติงานที่เกี่ยวข้องกับระบบ IT เป็นลายลักษณ์อักษร ตามนโยบายการบริหารจัดการด้าน IT Risk และนโยบายการรักษาความมั่นคงปลอดภัยด้าน IT เพื่อให้เจ้าหน้าที่ผู้ปฏิบัติงานด้าน IT สามารถปฏิบัติงานได้อย่างถูกต้อง รวมถึงมีการปรับปรุงขั้นตอนและวิธีปฏิบัติงานให้สอดคล้องกับนโยบายดังกล่าว</t>
  </si>
  <si>
    <t xml:space="preserve">1. สอบทานรายละเอียดขั้นตอนและวิธีปฏิบัติงานตามนโยบายการบริหารจัดการ IT Risk และนโยบายการรักษาความมั่นคงปลอดภัยด้าน IT เพื่อให้มั่นใจว่ามีการจัดทำรายละเอียดขั้นตอนและวิธีปฏิบัติงานตามนโยบายการบริหารจัดการ IT Risk และการรักษาความมั่นคงปลอดภัยด้าน IT อย่างเป็นลายลักษณ์อักษรเพียงพอต่อการดำเนินการต่างๆ
2. สอบทานผู้ลงนามอนุมัติรายละเอียดขั้นตอนและวิธีปฏิบัติงานการบริหารจัดการ IT Risk และนโยบายการรักษาความมั่นคงปลอดภัยด้าน IT  เพื่อให้มั่นใจว่ารายละเอียดขั้นตอนและวิธีปฏิบัติงานฯ ได้รับการพิจารณาความเหมาะสม และลงนามอนุมัติโดยผู้บริหารที่เกี่ยวข้อง
3. สอบทานวันที่ และ รายละเอียดการปรับปรุงของเอกสารขั้นตอนและวิธีปฏิบัติงาน ที่เกี่ยวข้องกับ นโยบายการบริหารจัดการ IT Risk และนโยบายการรักษาความมั่นคงปลอดภัยด้าน IT ที่มีการเปลี่ยนแปลง เพื่อให้มั่นใจว่ามีการปรับปรุงขั้นตอนและวิธีปฏิบัติงานให้สอดคล้องกับนโยบายฯ ที่มีการเปลี่ยนแปลงและสอดคล้องกับการเปลี่ยนแปลงของความต้องการทางธุรกิจ ภัยคุกคาม เทคโนโลยี และภารกิจขององค์กร
</t>
  </si>
  <si>
    <t>D1 #29</t>
  </si>
  <si>
    <t>2.3.2 #2</t>
  </si>
  <si>
    <r>
      <t xml:space="preserve">กำหนดวิธีปฏิบัติในการขออนุมัติยกเว้น (exception) เพื่อรองรับกรณีผู้ประกอบธุรกิจไม่สามารถปฏิบัติตามนโยบาย ขั้นตอน และวิธีปฏิบัติที่กำหนดไว้ โดยจัดให้มีการประเมินความเสี่ยง กำหนดแนวทางการควบคุมความเสี่ยงอย่างเพียงพอเหมาะสม และขออนุมัติจากผู้มีอำนาจก่อนดำเนินการต่อไป โดยจัดเก็บหลักฐานการอนุมัติยกเว้นดังกล่าวอย่างเป็นลายลักษณ์อักษร
* ผู้มีอำนาจในการอนุมัติยกเว้น ไม่ควรเป็นบุคคลที่อาจก่อให้เกิดความขัดแย้งทางผลประโยชน์ (conflict of interest) และการกำหนดผู้มีอำนาจอนุมัติยกเว้น ควรเป็นไปตามหลักการบริหารจัดการความเสี่ยงที่ดี (good governance)
** ผู้ประกอบธุรกิจสามารถให้ผู้บริหารของฝ่ายงาน เช่น Head of IT เป็นต้น เป็นผู้อนุมัติยกเว้นได้ </t>
    </r>
    <r>
      <rPr>
        <u/>
        <sz val="10"/>
        <rFont val="Tahoma"/>
        <family val="2"/>
        <scheme val="major"/>
      </rPr>
      <t>กรณีที่</t>
    </r>
    <r>
      <rPr>
        <sz val="10"/>
        <rFont val="Tahoma"/>
        <family val="2"/>
        <scheme val="major"/>
      </rPr>
      <t>การอนุมัติยกเว้นนั้น ได้รับการประเมินแล้วว่ามีความเสี่ยงต่ำ และผู้บริหารของฝ่ายงานดังกล่าว ได้รับการอนุมัติจากคณะกรรมการหรือผู้บริหารระดับสูงของผู้ประกอบธุรกิจเป็นการล่วงหน้า (pre-authorized) ให้เป็นผู้ที่สามารถอนุมัติยกเว้นข้อกำหนดที่มีความเสี่ยงต่ำได้ โดยผู้ประกอบธุรกิจควรรายงานการอนุมัติยกเว้นดังกล่าวให้คณะกรรมการ
หรือผู้บริหารระดับสูงที่เกี่ยวข้องทราบ ตามกรอบระยะเวลาที่เหมาะสม</t>
    </r>
  </si>
  <si>
    <t>1. สัมภาษณ์ผู้บริหารด้าน IT เกี่ยวกับกระบวนการขออนุมัติยกเว้น (exception)กรณีไม่สามารถปฏิบัติตามนโยบาย ขั้นตอนและวิธีปฏิบัติที่กำหนดไว้ เพื่อให้มั่นใจว่าการขออนุมัติยกเว้นดังกล่าวได้รับการพิจารณาโดยผู้มีอำนาจอย่างเหมาะสม
2. สอบทาน "วิธีปฏิบัติในการขออนุมัติยกเว้น (exception)" ในรายละเอียดขั้นตอนการปฏิบัติงานเพื่อให้มั่นใจว่า มีการระบุวิธีปฏิบัติในการขออนุมัติยกเว้น (exception) สำหรับกรณีที่มีความจำเป็นไม่สามารถปฏิบัติตามนโยบาย ขั้นตอน และวิธีปฏิบัติที่กำหนดไว้  โดยครอบคลุมถึงการประเมินความเสี่ยง การกำหนดแนวทางการควบคุมความเสี่ยงอย่างเพียงพอและเหมาะสม ได้รับการเห็นและอนุมัติจากผู้มีอำนาจ 
3. อ้างอิงจากการตรวจสอบในข้ออื่นๆ หากพบกรณีที่ผู้ประกอบธุรกิจไม่สามารถปฏิบัติตามนโยบาย ขั้นตอน และวิธีปฏิบัติที่กำหนดไว้  ให้สุ่มสอบทาน "เอกสารการขออนุมัติยกเว้น (exception)" ที่ผู้ประกอบธุรกิจจัดทำขึ้น เพื่อให้มั่นใจได้ว่าดำเนินการจัดทำครบถ้วนตามที่ได้กำหนดไว้ในรายละเอียดขั้นตอนการปฏิบัติงาน</t>
  </si>
  <si>
    <t>D1 #30</t>
  </si>
  <si>
    <t>2.3.2 #3</t>
  </si>
  <si>
    <t>มีการสอบทานความเหมาะสมของรายการขออนุมัติยกเว้น ตลอดจนแนวทางการควบคุมความเสี่ยงอย่างน้อยปีละ 1 ครั้ง เพื่อทบทวนแนวทางการดำเนินการให้มีความเหมาะสมต่อความเสี่ยงที่อาจมีการเปลี่ยนแปลงไปตามสภาพแวดล้อมการประกอบธุรกิจและการใช้งานเทคโนโลยีสารสนเทศในการประกอบธุรกิจ</t>
  </si>
  <si>
    <t>1. สอบทานหลักฐานการทบทวนรายการการขออนุมัติยกเว้น (exception) ซึ่งได้รับการอนุมัติจากผู้มีอำนาจ</t>
  </si>
  <si>
    <t>D1 #31</t>
  </si>
  <si>
    <t>2.3.3</t>
  </si>
  <si>
    <t>มีการสื่อสารให้บุคคลที่เกี่ยวข้องได้รับทราบเกี่ยวกับการเปลี่ยนแปลงนโยบายการบริหารจัดการ IT Risk และนโยบายการรักษาความมั่นคงปลอดภัยด้าน IT อย่างทั่วถึง และมีการปรับปรุงขั้นตอนและวิธีปฏิบัติงานให้สอดคล้องกับการเปลี่ยนแปลงดังกล่าว</t>
  </si>
  <si>
    <t>1. สัมภาษณ์ผู้บริหารเกี่ยวกับวิธีการสื่อสารนโยบายการบริหารจัดการด้าน IT Risk และนโยบายการรักษาความมั่นคงปลอดภัยด้าน IT เมื่อมีการปรับปรุง (update) นโยบายดังกล่าว
2. สอบทานหลักฐานการสื่อสารนโยบายที่มีการปรับปรุง และเอกสารการรับทราบนโยบายฯ ของพนักงาน เพื่อให้มั่นใจว่าบุคคลที่เกี่ยวข้องได้รับทราบอย่างทั่วถึง
3. สอบทานขั้นตอนการปฏิบัติงานที่เกี่ยวข้อง เพื่อให้มั่นใจว่า มีปรับปรุงขั้นตอนและวิธีปฏิบัติงานให้สอดคล้องกับการเปลี่ยนแปลงดังกล่าว</t>
  </si>
  <si>
    <t>D1 #32</t>
  </si>
  <si>
    <t>2.4</t>
  </si>
  <si>
    <t>มีการทบทวนหรือปรับปรุงนโยบายการบริหารจัดการ IT Risk และนโยบายการรักษาความมั่นคงปลอดภัยด้าน ITอย่างน้อยปีละ 1 ครั้งโดยไม่ชักช้าเมื่อมีเหตุการณ์ใด ๆ ซึ่งอาจส่งผลกระทบต่อการกำกับดูแลและบริหารจัดการ IT Risk อย่างมีนัยสำคัญ</t>
  </si>
  <si>
    <t>1. สอบทานหลักฐานการทบทวนหรือปรับปรุงประสิทธิผลและความเหมาะสมของนโยบายการบริหารจัดการ IT Risk และนโยบายการรักษาความมั่นคงปลอดภัยด้าน IT จากคณะกรรมการของผู้ประกอบธุรกิจ เพื่อให้มีความเพียงพอ และสอดคล้องต่อความต้องการของธุรกิจ รวมทั้งการทบทวนเพื่อให้มั่นใจว่ามีการจัดทำกระบวนการดังกล่าวอย่างน้อยปีละ 1 ครั้ง โดยไม่ชักช้าเมื่อมีเหตุการณ์ใด ๆ ซึ่งอาจส่งผลกระทบต่อการกำกับดูแลและบริหารจัดการ IT Risk อย่างมีนัยสำคัญ</t>
  </si>
  <si>
    <t>Remarks</t>
  </si>
  <si>
    <t>หมวดที่ 2 การรักษาความมั่นคงปลอดภัยด้าน IT  (Information Technology Security)</t>
  </si>
  <si>
    <t>ส่วนที่ 1 โครงสร้างการบริหารงานเพื่อการรักษาความมั่นคงปลอดภัยด้าน IT (organization of information technology security)</t>
  </si>
  <si>
    <t xml:space="preserve">โครงสร้างการบริหารงานเพื่อการรักษาความมั่นคงปลอดภัยด้าน IT </t>
  </si>
  <si>
    <t>D2.1 #1</t>
  </si>
  <si>
    <t>มีการกำหนดโครงสร้างภายในองค์กร (organizational structure) ในการปฏิบัติงานด้าน IT โดยมีรายละเอียดหน้าที่และความรับผิดชอบของบุคลากรอย่างเป็นลายลักษณ์อักษร</t>
  </si>
  <si>
    <t>1. สัมภาษณ์ ผู้บริหารที่เกี่ยวข้องกับการจัดทำโครงสร้างองค์กรของฝ่ายปฏิบัติงานด้าน IT  รวมถึงขั้นตอนการกำหนดบทบาท หน้าที่และความรับผิดชอบให้กับบุคคลากรผู้ปฏิบัติงานด้าน IT
2. สอบทาน "แผนผังองค์กรสารสนเทศ (IT organization chart)" เทียบกับ "คำบรรยายลักษณะงาน (job  description)" เพื่อให้มั่นใจว่ามีการจัดทำเอกสารคำบรรยายลักษณะงานที่ระบุบทบาทหน้าที่และความรับผิดชอบครบถ้วนตามแผนผังองค์กรสารสนเทศ รวมทั้งได้รับการอนุมัติโดยผู้บริหารที่เกี่ยวข้อง
(M4) 3. สอบทาน "หลักฐานการสอบทานเอกสารคำบรรยายลักษณะงาน (job description)" เพื่อให้มั่นใจว่า มีการปรับปรุงรายละเอียดบทบาทหน้าที่ และความรับผิดชอบให้เป็นปัจจุบันอยู่เสมอ
(M5) 4. สอบทาน "หลักฐานการติดตามเชิงรุกต่อการเปลี่ยนแปลงบทบาทหน้าที่ผู้ปฏิบัติงานด้าน IT" เพื่อให้มั่นใจว่า มีการติดตามเชิงรุกต่อการเปลี่ยนแปลงบทบาทหน้าที่ผู้ปฏิบัติงานด้าน IT  เช่น เมื่อมีการเพิ่มหรือลดตำแหน่ง/เจ้าหน้าที่ จะมีการปรับปรุงเอกสารคำบรรยายลักษณะงานให้มีความเป็นปัจจุบันได้อย่างทันท่วงที</t>
  </si>
  <si>
    <t xml:space="preserve">ผู้ประกอบธุรกิจไม่มีการกำหนดโครงสร้างภายในองค์กรในการปฏิบัติงานด้าน IT </t>
  </si>
  <si>
    <t xml:space="preserve">ผู้ประกอบธุรกิจกำหนดโครงสร้างในการปฏิบัติงานด้าน ITแต่ไม่มีการระบุรายละเอียดหน้าที่และความรับผิดชอบของบุคลากรไว้เป็นลายลักษณ์อักษร หรือมีการระบุรายละเอียดหน้าที่และความรับผิดชอบแต่เนื้อหาไม่ครบถ้วนสมบูรณ์ หรือไม่ได้รับการอนุมัติจากกรรมการบริษัท </t>
  </si>
  <si>
    <t>ผู้ประกอบธุรกิจกำหนดโครงสร้างภายในองค์กรในการปฏิบัติงานด้าน IT  โดยมีรายละเอียดบทบาท หน้าที่และความรับผิดชอบของบุคลากรครบถ้วน และเป็นลายลักษณ์อักษร</t>
  </si>
  <si>
    <t>มีการจัดทำตาม Maturity Level 3 รวมถึงมีการสอบทานรายละเอียดบทบาท หน้าที่และความรับผิดชอบของผู้ปฏิบัติงานด้าน IT  ให้เป็นปัจจุบันอยู่เสมอ</t>
  </si>
  <si>
    <t>มีการจัดทำตาม Maturity Level 4 รวมถึงมีการติดตามเชิงรุกต่อการเปลี่ยนแปลงบทบาทหน้าที่ผู้ปฏิบัติงานด้าน IT  เพื่อนำไปปรับปรุงเอกสารคำบรรยายลักษณะงานให้มีความเป็นปัจจุบันได้อย่างทันท่วงที</t>
  </si>
  <si>
    <t>D2.1 #2</t>
  </si>
  <si>
    <t xml:space="preserve">มีการแบ่งแยกหน้าที่ในการปฏิบัติงานด้านต่าง ๆ ที่เกี่ยวกับความมั่นคงปลอดภัยของระบบเทคโนโลยีสารสนเทศ อย่างชัดเจน เพื่อให้มีการสอบทานการปฏิบัติงานระหว่างกัน เพื่อลดข้อผิดพลาดในการปฏิบัติงานและลดโอกาสการกระทำผิด (fraud) เช่น แบ่งแยกผู้พัฒนาระบบงาน (developer) ออกจากผู้มีสิทธิในการนำระบบขึ้นใช้งานจริง เป็นต้น
หรือจัดให้มีมาตรการควบคุมทดแทน เช่น การจัดให้มีกระบวนการติดตามและตรวจสอบการปฏิบัติงานของบุคลากรที่เกี่ยวข้องอย่างใกล้ชิดและสม่ำเสมอ เป็นต้น กรณีที่ไม่สามารถแบ่งแยกหน้าที่ความรับผิดชอบได้เนื่องจากข้อจำกัดทางด้านขนาดของธุรกิจหรือบุคลากร </t>
  </si>
  <si>
    <t>1. สัมภาษณ์ ผู้บริหารด้าน IT   ผู้บริหารที่เกี่ยวข้องเกี่ยวโครงสร้างองค์กรของฝ่ายปฏิบัติงานด้าน IT  เพื่อให้มั่นใจว่ามีการแบ่งแยกหน้าที่และความรับผิดชอบของผู้ปฏิบัติงานด้าน IT  อย่างชัดเจน
2. สอบทาน "แผนผังองค์กรสารสนเทศ (IT organization chart)" เทียบกับ "คำบรรยายลักษณะงาน (job description)" เพื่อให้มั่นใจว่า มีการแบ่งแยกหน้าที่และความรับผิดชอบตามหลักการแบ่งแยกหน้าที่ที่ดี เช่น แยกผู้พัฒนาระบบงาน (developer) ออกจากผู้มีสิทธิในการนำระบบขึ้นใช้งานจริง 
3. สอบทานสิทธิ์ หรือ log บนระบบเพื่อให้มั่นใจว่ามีการแบ่งแยกหน้าที่และสอบทานการปฏิบัติงานที่สำคัญ เช่น การนำระบบขึ้นใช้งานจริง เป็นต้น
4. สอบทานการควบคุมทดแทน เช่น การจัดให้มีกระบวนการติดตามและตรวจสอบการปฏิบัติงานของบุคลากรที่เกี่ยวข้องอย่างใกล้ชิดและสม่ำเสมอ เป็นต้น กรณีที่ไม่สามารถแบ่งแยกหน้าที่ความรับผิดชอบได้เนื่องจากข้อจำกัดทางด้านขนาดของธุรกิจหรือบุคลากร 
(M4) 5. สอบทาน "หลักฐานการสอบทานการปฏิบัติงานด้าน IT" โดยบุคคลหรือหน่วยงานที่มีความเป็นอิสระจากหน่วยงานที่ทำหน้าที่ปฏิบัติงาน  เพื่อให้มั่นใจว่าการปฏิบัติงานด้าน IT ที่สำคัญมีผู้ปฏิบัติและผู้ตรวจสอบ ตามหลักการแบ่งแยกหน้าที่/การสอบทานงานที่ดี
(M5) 6. สอบทาน การใช้เครื่องมืออัตโนมัติในการสอบทานการทำงานของผู้ปฏิบัติงานด้าน IT เช่น ระบบติดตามการทำงานของผู้ปฏิบัติงานที่เกี่ยวกับ IT Security เพื่อป้องกันการปฏิบัติงานดังกล่าวโดยไม่ได้รับอนุญาต</t>
  </si>
  <si>
    <t>ผู้ประกอบธุรกิจไม่มีการแบ่งแยกหน้าที่ในการปฏิบัติงานที่เกี่ยวกับความมั่นคงปลอดภัยของระบบเทคโนโลยีสารสนเทศ และไม่มีมาตรการควบคุมทดแทนในกรณีที่ไม่สามารถแบ่งแยกหน้าที่ตามข้อกำหนดได้</t>
  </si>
  <si>
    <t>ผู้ประกอบธุรกิจมีการแบ่งแยกบางหน้าที่งานในการปฏิบัติงานที่เกี่ยวกับความมั่นคงปลอดภัยของระบบเทคโนโลยีสารสนเทศ</t>
  </si>
  <si>
    <t>ผู้ประกอบธุรกิจมีการแบ่งแยกหน้าที่ในการปฏิบัติงานที่เกี่ยวกับความมั่นคงปลอดภัยของระบบเทคโนโลยี อย่างชัดเจน และมีมาตรการควบคุมทดแทนในกรณีที่ไม่สามารถแบ่งแยกหน้าที่ตามข้อกำหนดได้</t>
  </si>
  <si>
    <t>มีการจัดทำตาม Maturity Level 3 รวมถึงมีการสอบทานการทำงานโดย บุคคลหรือหน่วยงานที่มีความเป็นอิสระจากหน่วยงานที่ทำหน้าที่ปฏิบัติงาน เพื่อให้มั่นใจว่าผู้ปฏิบัติงานดังกล่าวมีการปฏิบัติงานตามหลักการแบ่งแยกหน้าที่ที่ดี</t>
  </si>
  <si>
    <t>มีการจัดทำตาม Maturity Level 4 โดยการใช้เครื่องมืออัตโนมัติ (automated monitoring) ในการติดตามการทำงานของผู้ปฏิบัติงานที่เกี่ยวกับความมั่นคงปลอดภัยของระบบเทคโนโลยีสารสนเทศ เพื่อให้มั่นใจว่าผู้ปฏิบัติงานดังกล่าว ปฏิบัติงานตามหลักการแบ่งแยกหน้าที่ที่ดี เช่น มีการตั้งค่าให้แจ้งเตือนอัตโนมัติหากผู้ปฏิบัติงานทำรายการที่ผิดหลักการแบ่งแยกหน้าที่งานในระบบ เป็นต้น</t>
  </si>
  <si>
    <t>ส่วนที่ 2 การบริหารจัดการบุคลากร และบุคคลภายนอก</t>
  </si>
  <si>
    <t>การบริหารจัดการบุคลากร</t>
  </si>
  <si>
    <t>D2.2 #1</t>
  </si>
  <si>
    <t>2.1(1)</t>
  </si>
  <si>
    <t xml:space="preserve">มีการจัดทำกระบวนการคัดเลือกบุคลากรในการปฏิบัติหน้าที่โดยคำนึงถึงความรู้ ความสามารถ และความเพียงพอในการปฏิบัติงาน รวมถึง มีการพิจารณารับพนักงานเข้าทำงานหรือการว่าจ้างหน่วยงานให้มีการตรวจสอบประวัติและคุณสมบัติเพื่อให้เพียงพอและสอดคล้องกับความเสี่ยงของตำแหน่งงานและหน้าที่ความรับผิดชอบ
</t>
  </si>
  <si>
    <t>1. สัมภาษณ์ ผู้บริหารหน่วยงานทรัพยากรบุคคล (Human Resource)  เกี่ยวกับกระบวนการคัดเลือกบุคลากรในการปฎิบัติหน้าที่ เพื่อให้มั่นใจว่ามีการกำหนดหลักเกณฑ์การพิจารณารับพนักงานเข้าทำงาน ที่คำนึงถึงความรู้ ความสามารถของผู้ปฏิบัติงาน มีการตรวจสอบประวัติและคุณสมบัติที่สอดคล้องกับตำแหน่งงานและหน้าที่ความรับผิดชอบ โดยมีการจัดเก็บหลักฐานที่เกี่ยวข้องเป็นลายลักษณ์อักษรอย่างเหมาะสม เช่น
    (1) การตรวจสอบบุคคลอ้างอิง 
    (2) การตรวจสอบความครบถ้วนและความถูกต้องของประวัติผู้สมัคร
    (3) ใบรับรองการศึกษาและใบรับรองทางด้านความเชี่ยวชาญในสายงานเทคโนโลยีสารสนเทศ
    (4) ประวัติอาชญากร
2. สอบทานหลักฐาน "เอกสารประกอบการจ้างงาน" เพื่อให้มั่นใจว่ามีการตรวจสอบประวัติและคุณสมบัติตามเกณฑ์ที่กำหนด</t>
  </si>
  <si>
    <t xml:space="preserve">N/A
</t>
  </si>
  <si>
    <t>D2.2 #2</t>
  </si>
  <si>
    <t>2.1(2)</t>
  </si>
  <si>
    <t>2.1(2) #1</t>
  </si>
  <si>
    <t>มีการกำหนดข้อตกลงการจ้างงาน หรือระเบียบข้อบังคับภายในองค์กร นโยบายการรักษาความมั่นคงปลอดภัยด้าน IT และข้อตกลงการไม่เปิดเผยข้อมูล เพื่อป้องกันการละเมิดหรือความเสียหายที่อาจเกิดขึ้นต่อทรัพย์สินด้าน IT ของผู้ประกอบธุรกิจ และให้บุคลากรที่ได้รับการว่าจ้างทำความเข้าใจ รับทราบ และลงนายอมรับ โดยมีเนื้อหาที่ครอบคลุม ดังนี้
    (1) บทบาทหน้าที่และความรับผิดชอบของบุคลากรดังกล่าวและขององค์กร เกี่ยวกับการรักษาความมั่นคงปลอดภัยด้าน IT 
    (2) ข้อตกลงการไม่เปิดเผยข้อมูล non-disclosure agreement</t>
  </si>
  <si>
    <t xml:space="preserve">1. สัมภาษณ์ผู้บริหารหน่วยงานทรัพยากรบุคคล (HR) เกี่ยวกับการกำหนดข้อตกลงการจ้างงานและข้อตกลงการไม่เปิดเผยข้อมูล (non-disclosure agreement)
2. สุ่มสอบทาน "ข้อตกลงการจ้างงาน" เพื่อให้มั่นใจว่ามีการลงนามในเอกสารดังกล่าวเพื่อรับทราบอย่างเป็นลายลักษณ์อักษร และมีเนื้อหาครอบคลุมหัวข้อที่สำคัญอย่างน้อยดังต่อไปนี้
   (1) บทบาทหน้าที่และความรับผิดชอบของบุคลากรดังกล่าวเกี่ยวกับการรักษาความมั่นคงปลอดภัยด้าน IT 
   (2) ข้อตกลงการไม่เปิดเผยข้อมูล (non-disclosure agreement)
</t>
  </si>
  <si>
    <t>D2.2 #3</t>
  </si>
  <si>
    <t>2.1(2) #2</t>
  </si>
  <si>
    <t xml:space="preserve">มีการจัดทำข้อตกลงการไม่เปิดเผยความลับ (non-disclosure agreement) โดยครอบคลุมเนื้อหาขั้นต่ำ ดังนี้
    (1) ความเป็นเจ้าของข้อมูลสำคัญทางธุรกิจ ทรัพย์สินทางปัญญา และการป้องกันการรั่วไหลของข้อมูล
    (2) ความรับผิดชอบในการเก็บรักษาความลับ และไม่เปิดเผยข้อมูลโดยไม่ได้รับอนุญาต
    (3) การแจ้งเตือนและรายงานผู้เกี่ยวข้องหากพบการรั่วไหลหรือเปิดเผยข้อมูลโดยไม่ได้รับอนุญาต
    (4) การดำเนินการกรณีละเมิดหรือยกเลิกข้อตกลง รวมทั้งข้อกำหนดในการคืนหรือทำลายข้อมูลที่มีความสำคัญเมื่อสิ้นสุดข้อตกลง </t>
  </si>
  <si>
    <t xml:space="preserve">1. สอบทานเอกสารข้อตกลงการไม่เปิดเผยข้อมูล (non-disclosure agreement) เพื่อให้มั่นใจว่ามีการจัดทำครอบคลุมหัวข้อที่สำคัญอย่างน้อยในเรื่องดังต่อไปนี้
   (1) ความเป็นเจ้าของข้อมูลสำคัญทางธุรกิจ ทรัพย์สินทางปัญญา และการป้องกันการรั่วไหลของข้อมูล
   (2) ความรับผิดชอบในการเก็บรักษาความลับ และไม่เปิดเผยข้อมูลโดยไม่ได้รับอนุญาต
   (3) การแจ้งเตือนและรายงานผู้เกี่ยวข้องหากพบการรั่วไหลหรือเปิดเผยข้อมูลโดยไม่ได้รับอนุญาต
   (4) การดำเนินการกรณีละเมิดหรือยกเลิกข้อตกลง รวมทั้งข้อกำหนดในการคืนหรือทำลายข้อมูลที่มีความสำคัญเมื่อสิ้นสุดข้อตกลง </t>
  </si>
  <si>
    <t>D2.2 #4</t>
  </si>
  <si>
    <t>2.1(3)</t>
  </si>
  <si>
    <t>2.1(3) #1</t>
  </si>
  <si>
    <t>มีการอบรมสร้างความตระหนักรู้ด้าน IT Risk แก่พนักงานที่ใช้งานระบบสารสนเทศของบริษัทรับทราบอย่างสม่ำเสมอ เช่น การจัดการอบรมภายในองค์กร หรือ การส่งบุคลากรเข้าร่วมฝึกอบรมภายนอกองค์กร เป็นต้น เพื่อให้บุคลากรดังกล่าวสามารถใช้งานระบบ IT ได้อย่างปลอดภัย โดยมีเนื้อหาครอบคลุม ดังนี้
    (1) การรักษาความมั่นคงปลอดภัยด้าน IT 
    (2)  IT Risk และภัยคุกคามทางไซเบอร์
    (3) หลักเกณฑ์และกฎหมายที่เกี่ยวข้องกับ IT</t>
  </si>
  <si>
    <t>1. สอบทาน “เอกสารการปฐมนิเทศ/อบรมก่อนเริ่มงาน (orientation)” และ “เอกสารประกอบการอบรมประจำปี”รวมทั้ง "เอกสารอบรมสร้างความตระหนักรู้ด้าน IT Risk"  เพื่อให้มั่นใจว่ามีจัดทำสื่อการอบรมให้ครอบคลุมถึง
    (1) การรักษาความมั่นคงปลอดภัยด้าน IT (IT Security)
    (2)  IT Risk และภัยคุกคามทางไซเบอร์ (IT &amp; Cyber risk)
    (3) หลักเกณฑ์และกฎหมายที่เกี่ยวข้องกับ IT
2. สุ่มสอบทาน “หลักฐานเข้าร่วมการอบรมการสร้างตระหนักรู้ด้าน IT Risk” จากรายชื่อพนักงานหรือผู้ปฏิบัติงานที่สามารถเข้าถึงระบบ IT เพื่อมั่นใจว่ามีการอบรมสร้างความตระหนักรู้ด้าน IT Security และ IT/Cyber risk ให้พนักงานหรือผู้ปฏิบัติงานให้มีความรู้และทักษะที่เพียงพอ
(M4) 3. สอบทาน “เอกสารวัดความรู้ด้าน IT Security และ IT Risk" เพื่อให้มั่นใจได้ว่าบุคลากรมีความรู้ ความเข้าใจเนื้อหาการอบรมอย่างถูกต้องและมีประสิทธิภาพ
(M5) 4. สอบทาน "เอกสารการอบรมสร้างความตระหนักรู้ IT Risk หรือภัยคุกคามทางไซเบอร์ใหม่ ๆ" เพื่อให้มั่นใจว่าพนักงานมีความรู้เพียงพอที่จะรับมือ IT Risk หรือภัยคุกคามทางไซเบอร์ที่มีการเปลี่ยนแปลงตลอดเวลา</t>
  </si>
  <si>
    <t>ไม่มีการอบรมให้ความรู้ หรือสื่อสารเกี่ยวกับการสร้างความตระหนักรู้ด้าน IT Risk/IT Security แก่พนักงานและผู้ปฏิบัติงาน</t>
  </si>
  <si>
    <t>มีการอบรมให้ความรู้ หรือสื่อสารเกี่ยวกับการสร้างความตระหนักรู้ด้าน IT Risk/IT Securityแก่พนักงานผู้ปฏิบัติงาน แต่ยังไม่ครอบคลุมเนื้อหาขั้นต่ำที่ควรมี</t>
  </si>
  <si>
    <t>มีการอบรมให้ความรู้ หรือสื่อสารเกี่ยวกับการสร้างความตระหนักรู้ด้าน IT Risk/IT Security แก่พนักงานและผู้ปฏิบัติงาน โดยครอบคลุมถึงเนื้อหาขั้นต่ำที่ควรมี</t>
  </si>
  <si>
    <t>มีการจัดทำตาม Maturity Level 3 รวมถึงการประเมินความตระหนักรู้ด้าน  IT Risk/IT Security เพื่อให้มั่นใจได้ว่าบุคลากรมีความรู้ ความเข้าใจการอบรมอย่างถูกต้อง</t>
  </si>
  <si>
    <t>มีการจัดทำตาม Maturity Level 4 รวมถึงมีการติดตาม IT Risk หรือภัยคุกคามทางไซเบอร์ใหม่ ๆ ที่อาจส่งผลกระทบต่อความมั่นคงปลอดภัยสารสนเทศของบริษัท พร้อมทั้งจัดให้มีการอบรมสร้างความตระหนักรู้ในเรื่องดังกล่าวทันที</t>
  </si>
  <si>
    <t>D2.2 #5</t>
  </si>
  <si>
    <t>2.1(3) #2</t>
  </si>
  <si>
    <t>มีการทบทวนแผนการส่งเสริมและพัฒนาความรู้ด้าน IT (training program) อย่างน้อยปีละ 1 ครั้ง เพื่อให้มั่นใจว่าเนื้อหาและรายละเอียดของแผนงานที่เกี่ยวข้องยังคงเพียงพอและเหมาะสมกับแนวโน้ม IT Risk ในปัจจุบัน</t>
  </si>
  <si>
    <t xml:space="preserve">1. สอบทาน "เอกสารการทบทวนแผนการส่งเสริมและพัฒนาความรู้ด้าน IT"  เพื่อให้มั่นใจว่าเนื้อหาและรายละเอียดของแผนงานที่เกี่ยวข้องยังคงเพียงพอและเหมาะสมกับแนวโน้ม IT Risk ในปัจจุบัน อย่างน้อยปีละ 1 ครั้ง
</t>
  </si>
  <si>
    <t>D2.2 #6</t>
  </si>
  <si>
    <t>2.1(3) #3</t>
  </si>
  <si>
    <t xml:space="preserve">มีการเสริมสร้างความตระหนักรู้เรื่องการรักษาความมั่นคงปลอดภัยด้าน IT  และ IT Risk อย่างสม่ำเสมอ ให้แก่บุคลากร (user) ที่สามารถเข้าถึงข้อมูลที่มีความสำคัญของผู้ประกอบธุรกิจหรือข้อมูลของผู้ใช้บริการ เช่น การทดสอบเรื่องอีเมลหลอกลวง (phishing) การทดสอบเรื่องภัยคุกคามแบบวิศวกรรมสังคม (social engineering) และการซักซ้อมแผนเพื่อเตรียมรับมือจากการโจมตีทางไซเบอร์ เป็นต้น
</t>
  </si>
  <si>
    <t xml:space="preserve">1. สอบทาน "หลักฐานการเสริมสร้างความตระหนักรู้ด้าน IT Security และ IT Risk" เช่น การทดสอบเรื่องอีเมลหลอกลวง (phishing) การทดสอบเรื่องภัยคุกคามแบบวิศวกรรมสังคม (social engineering) และการซักซ้อมแผนเพื่อเตรียมความพร้อมรับมือจากการโจมตีทางไซเบอร์ เป็นต้น ให้แก่บุคลากรที่สามารถเข้าถึงข้อมูลที่มีความสำคัญของบริษัท เพื่อให้มั่นใจว่าบุคลากรดังกล่าวมีความพร้อมในการรับมือภัยคุกคามทางไซเบอร์
</t>
  </si>
  <si>
    <t>D2.2 #7</t>
  </si>
  <si>
    <t>2.1(4)</t>
  </si>
  <si>
    <t>2.1(4) #1-2</t>
  </si>
  <si>
    <t>มีนโยบายการใช้งาน IT ที่ยอมรับได้ (acceptable use policy) ที่มีรายละเอียดครอบคลุมขอบเขตความรับผิดชอบของผู้ใช้งาน IT สิ่งที่ผู้ใช้งานพึงปฏิบัติ และสิ่งที่ผู้ใช้งานห้ามปฏิบัติ และมีการสื่อสารนโยบายการใช้งาน IT ที่ยอมรับได้ (acceptable use policy) ให้ผู้ใช้งานรับทราบ และลงนามยอมรับนโยบายดังกล่าว</t>
  </si>
  <si>
    <t>1. สอบทาน “เอกสารนโยบายการใช้งาน IT ที่ยอมรับได้ (acceptable use policy: AUP)” เพื่อให้มั่นใจว่ามีการกำหนดวิธีการการใช้งานและการรักษาความปลอดภัยของการใช้งานทรัพย์สินทางด้านสารสนเทศเพื่อให้เป็นไปตามวัตถุประสงค์การใช้งานที่กำหนด และ เพื่อให้ผู้ใช้งานสามารถใช้งานได้อย่างถูกวิธี โดยอาจรวมถึงการใช้งานทรัพย์สินสารสนเทศบนเครือข่ายสาธารณะ เช่น อินเทอร์เนต อีเมล โซเชียลมีเดีย
2. สอบทาน “หลักฐานการสื่อสารเอกสารนโยบายการใช้งาน IT ที่ยอมรับได้ (acceptable use policy: AUP)” เพื่อให้มั่นใจว่า พนักงานที่เกี่ยวข้องรับทราบถึงวิธีการใช้งานทรัพย์สินทางด้านสารสนเทศ รวมทั้ง มีการกำหนดการรักษาความมั่นคงปลอดภัยจากการเข้าถึงข้อมูลและระบบสารสนเทศ โดยอาจเป็นวิธีการจัดการอบรม เอกสารคู่มือ หรือ เอกสารเผยแพร่บน intranet ของบริษัท
3. สอบทานการลงนามใน “เอกสารนโยบายการใช้งาน IT ที่ยอมรับได้ (acceptable use policy: AUP)" เพื่อให้มั่นใจว่า พนักงานของบริษัทได้รับทราบข้อกำหนดวิธีการการใช้งานและการรักษาความมั่นคงปลอดภัยของการใช้งานทรัพย์สินทางด้านสารสนเทศ ซึ่งรวมถึงการใช้งานทรัพย์สินทางด้านสารสนเทศในการใช้งานเครือข่ายสาธารณะ เช่น อินเทอร์เนต อีเมล โซเชียลมีเดีย</t>
  </si>
  <si>
    <t>D2.2 #8</t>
  </si>
  <si>
    <t>2.1(5)</t>
  </si>
  <si>
    <t>มีการกำหนดมาตรการในการลงโทษบุคลากรที่มีพฤติกรรมฝ่าฝืนหรือไม่ปฏิบัติตามนโยบายและมาตรการรักษาความมั่นคงปลอดภัยในการปฏิบัติงานด้าน IT</t>
  </si>
  <si>
    <t>1. สัมภาษณ์ ผู้บริหารหน่วยงานทรัพยากรบุคคล (HR) เกี่ยวกับการกำหนดและสื่อสารบทลงโทษบุคลากร กรณีฝ่าฝืนไม่ปฏิบัติตามนโยบายหรือหลักเกณฑ์การรักษาความมั่นคงปลอดภัย IT 
2. สอบทาน “นโยบายและมาตรการการรักษาความมั่นคงปลอดภัยของระบบสารสนเทศ” หรือ เอกสารที่เกี่ยวข้อง เพื่อให้มั่นใจว่ามีการกำหนดและสื่อสารบทลงโทษทางวินัย กรณีฝ่าฝืนไม่ปฏิบัติตามนโยบายการรักษาความมั่นคงปลอดภัย IT 
3. สอบทาน “เอกสารการประกาศใช้งานนโยบายและมาตรการการรักษาความมั่นคงปลอดภัยของระบบสารสนเทศ” หรือ การลงนามรับทราบในเอกสารที่เกี่ยวข้องอื่น ๆ 
เพื่อให้มั่นใจว่าพนักงานรับทราบบทลงโทษที่กำหนดไว้</t>
  </si>
  <si>
    <t>D2.2 #9</t>
  </si>
  <si>
    <t>2.1(6)</t>
  </si>
  <si>
    <t>2.1(6) #1</t>
  </si>
  <si>
    <t>มีกระบวนการจัดการเกี่ยวกับการเปลี่ยนแปลงตำแหน่งงานหรือสิ้นสุดการจ้างงานและมอบหมายให้มีผู้รับผิดชอบอย่างชัดเจน เช่น การคืนทรัพย์สินขององค์กร การปรับปรุงสิทธิให้เป็นปัจจุบัน และยกเลิกสิทธิเมื่อสิ้นสุดการจ้างงาน  รวมทั้งมีการสื่อสารให้ผู้ที่เกี่ยวข้องรับทราบถึงการเปลี่ยนแปลงสิทธิ หน้าที่ และความรับผิดชอบ</t>
  </si>
  <si>
    <t>1. สัมภาษณ์ ผู้บริหารหน่วยงานทรัพยากรบุคคล (HR) เกี่ยวกับกระบวนจัดการเมื่อพนักงานมีการเปลี่ยนตำแหน่งงาน หรือสิ้นสุดการจ้างงาน
2. สอบทาน ขั้นตอนการปฏิบัติเมื่อมีการเปลี่ยนแปลงตำแหน่งงานหรือสิ้นสุดการจ้างงาน เพื่อให้มั่นใจว่ามีการป้องกันการละเมิดหรือความเสียหายที่อาจเกิดขึ้นต่อทรัพย์สินด้าน IT
3. สุ่มสอบทาน สิทธิการเข้าถึงระบบสารสนเทศของพนักงานที่มีการเปลี่ยนแปลงตำแหน่งงานหรือสิ้นสุดการจ้างงาน เพื่อให้มั่นใจว่ามีการปรับปรุงสิทธิให้เป็นปัจจุบัน
4. สุ่มสอบทาน การคืนทรัพย์สินของพนักงานทิ่สิ้นสุดการจ้างงาน เพื่อให้มั่นใจว่ามีการคืนทรัพย์สินของบริษัทครบถ้วน
5. สอบทาน "หลักฐานการสื่อสารให้ผู้ที่เกี่ยวข้องรับทราบถึงการเปลี่ยนแปลงสิทธิ หน้าที่ และความรับผิดชอบของพนักงาน" เพื่อให้มั่นใจว่ามีการสื่อสารการปรับเปลี่ยนหน้าที่ ความรับผิดชอบให้ผู้ที่เกี่ยวข้องรับทราบอย่างถูกต้องเหมาะสม
(M4) 6. สอบทาน "รายงานการสอบทานการปฏิบัติตามวิธีปฏิบัติเมื่อมีการเปลี่ยนแปลงตำแหน่งงานหรือสิ้นสุดการจ้างงาน" โดยบุคคลหรือหน่วยงานที่มีความเป็นอิสระจากหน่วยงานที่ทำหน้าที่ปฏิบัติงาน เพื่อให้มั่นใจว่ามีการสอบทานการปฏิบัติตามวิธีปฏิบัติเมื่อมีการเปลี่ยนแปลงตำแหน่งงานหรือสิ้นสุดการจ้างงาน อย่างเหมาะสม
(M5) 7. สอบทาน "หลักฐานการใช้เครื่องมือในการตรวจจับและปรับปรุงสิทธิอัตโนมัติ" เช่น identity &amp; access management tools role-based access control tools (RBAC tools)  เป็นต้น เพื่อให้มั่นใจว่า มีการใช้เครื่องมือในการเปลี่ยนแปลงและยกเลิกสิทธิ ป้องกันการเข้าถึงที่ไม่เหมาะสมของพนักงานที่พ้นสภาพหรือสิ้นสุดการจ้างงาน</t>
  </si>
  <si>
    <t>ไม่มีกระบวนการจัดการเกี่ยวกับการเปลี่ยนแปลงตำแหน่งงานหรือสิ้นสุดการจ้างงาน</t>
  </si>
  <si>
    <t>มีกระบวนการจัดการเกี่ยวกับการเปลี่ยนแปลงตำแหน่งงานหรือสิ้นสุดการจ้างงาน  แต่ไม่มีการสื่อสารให้ผู้ที่เกี่ยวข้องทราบถึงข้อมูลกระบวนการเปลี่ยนแปลงดังกล่าวอย่างเป็นลายลักษณ์อักษร หรือการปรับปรุงสิทธิการเข้าใช้งานยังไม่เป็นปัจจุบัน หรือการเรียกคืนทรัพย์สินของบริษัทยังไม่ครบถ้วน</t>
  </si>
  <si>
    <t>มีกระบวนการจัดการเกี่ยวกับการเปลี่ยนแปลงตำแหน่งงานหรือสิ้นสุดการจ้างงาน และสื่อสารให้ผู้ที่เกี่ยวข้องทราบถึงข้อมูลกระบวนการเปลี่ยนแปลงดังกล่าวอย่างเป็นลายลักษณ์อักษร ตลอดจนมีการปรับปรุงสิทธิให้เป็นปัจจุบันและมีการเรียกคืนทรัพย์สินของบริษัทครบถ้วน</t>
  </si>
  <si>
    <t>มีการจัดทำตาม Maturity Level 3 รวมถึงมีการสอบทานการปฏิบัติตามวิธีปฏิบัติเมื่อมีการเปลี่ยนแปลงตำแหน่งงานหรือสิ้นสุดการจ้างงาน โดยบุคคลหรือหน่วยงานที่มีความเป็นอิสระจากหน่วยงานที่ทำหน้าที่ปฏิบัติงาน  เพื่อให้มั่นใจว่ามีการสอบทานการปฏิบัติตามวิธีปฏิบัติเมื่อมีการเปลี่ยนแปลงตำแหน่งงานหรือสิ้นสุดการจ้างงาน อย่างเหมาะสม</t>
  </si>
  <si>
    <t>มีการจัดทำตาม Maturity Level 4 โดยใช้เครื่องมือหรือกลไกอัตโนมัติ (monitoring mechanism) ในการตรวจจับและปรับปรุงสิทธิสำหรับพนักงานที่เปลี่ยนตำแหน่งงานหรือสิ้นสุดการจ้างงาน</t>
  </si>
  <si>
    <t>การบริหารจัดการบุคคลภายนอก  (third-party management)</t>
  </si>
  <si>
    <t>D2.2 #10</t>
  </si>
  <si>
    <t>2.2(1)</t>
  </si>
  <si>
    <t>2.2(1) #1-2</t>
  </si>
  <si>
    <t>มีการประเมินความเสี่ยงจากการใช้บริการ การเชื่อมต่อหรือการเข้าถึงข้อมูลจากบุคคลภายนอก รวมถึงผู้รับดำเนินการช่วง (subcontract) จากบุคคลภายนอก (ถ้ามี) เพื่อจัดระดับความสำคัญของบุคคลภายนอก โดยคำนึงถึงความเสี่ยงดังต่อไปนี้
    (1) ความเสี่ยงด้านกฎหมาย
    (2) ความเสี่ยงจากการกำกับดูแลและบริหารจัดการบุคคลภายนอกที่ไม่รัดกุมเพียงพอ
    (3) ความเสี่ยงจากการกระจุกตัว (concentration risk)
    (4) ความเสี่ยงจากการพึ่งพาบุคคลภายนอกรายใดรายหนึ่งเป็นหลัก (third party/vendor locked-in)
    (5)  ความเสี่ยงด้าน IT และภัยทางไซเบอร์ 
    (6) ความเสี่ยงกรณีบุคคลภายนอกให้ผู้อื่นดำเนินการแทน (subcontractor risk)</t>
  </si>
  <si>
    <r>
      <t>1. สัมภาษณ์ ผู้บริหารด้าน IT  เพื่อให้เข้าใจถึงขั้นตอนการประเมินความเสี่ยงจากการใช้บริการ การเชื่อมต่อหรือการเข้าถึงข้อมูลจากบุคคลภายนอก โดยคำนึงถึงความเสี่ยง ดังนี้
    (1) ความเสี่ยงด้านกฎหมาย และกฎเกณฑ์ที่เกี่ยวข้องทั้งในประเทศและต่างประเทศ เช่น กฎหมายเกี่ยวกับการกระทำความผิดเกี่ยวกับคอมพิวเตอร์ กฎหมายเกี่ยวกับการคุ้มครองข้อมูลส่วนบุคคล กฎหมายเกี่ยวกับธุรกรรมทางอิเล็กทรอนิกส์ และ The EU General Data Protection Regulation (GDPR) เป็นต้น
    (2) ความเสี่ยงจากการกำกับดูแลและบริหารจัดการบุคคลภายนอกที่ไม่รัดกุมเพียงพอ เช่น การไม่สามารถตรวจสอบการดำเนินงานของบุคคลภายนอกได้ด้วยตนเอง เป็นต้น 
    (3) ความเสี่ยงจากการกระจุกตัว (concentration risk) เช่น ผู้ประกอบธุรกิจและบริษัทในกลุ่มธุรกิจเดียวกันใช้บริการจากบุคคลภายนอกเพียงรายเดียว เป็นต้น
    (4) ความเสี่ยงจากการพึ่งพาบุคคลภายนอกรายใดรายหนึ่งเป็นหลัก (third party/vendor locked-in) ซึ่งทำให้มีข้อจำกัดในการเปลี่ยนแปลงเทคโนโลยี ผู้ให้บริการ หรือข้อจำกัดในการนำระบบหรือข้อมูลกลับมาดำเนินการเอง
    (5)  ความเสี่ยงด้าน IT และภัยทางไซเบอร์ เช่น ระบบที่ให้บริการโดยบุคคลภายนอกเกิดขัดข้อง ระบบของบุคคลภายนอกมีช่องโหว่ทำให้ข้อมูลเกิดการสูญหายหรือรั่วไหล เป็นต้น
    (6) ความเสี่ยงกรณีบุคคลภายนอกให้ผู้อื่นดำเนินการแทน (sub contractor risk) เช่น subcontractor ปฏิบัติงานบกพร่องเป็นต้น
2. สอบทาน "นโยบายการบริหารจัดการผู้ให้บริการภายนอก" เพื่อให้มั่นใจว่ามีการระบุให้ประเมินความเสี่ยงและผลกระทบก่อน 
    (1) การใช้บริการงานด้าน IT จากบุคคลภายนอก 
    (2) การเชื่อมต่อระบบ IT กับบุคคลภายนอก และ 
    (3) การอนุญาตให้บุคคลภายนอกสามารถเข้าถึงข้อมูลสำคัญหรือข้อมูลของลูกค้าที่ควบคุมดูแลโดยผู้ประกอบธุรกิจได้ 
3. สอบท</t>
    </r>
    <r>
      <rPr>
        <sz val="10"/>
        <rFont val="Tahoma"/>
        <family val="2"/>
        <scheme val="major"/>
      </rPr>
      <t>าน "รายงานผลการประเมินความเสี่ยงของบุคคลภายนอก" เพื่อให้มั่นใจว่า มีการกำหนดระดับความมีนัยสำคัญของบุคคลภายนอกแต่ละราย และมีการจัดทำการประเมินความเสี่ยงและผลกระทบก่อนการใช้บุคคลภายนอก โดยคำนึงถึงความเสี่ยงที่เกี่ยวข้อง</t>
    </r>
  </si>
  <si>
    <t>D2.2 #11</t>
  </si>
  <si>
    <t>2.2(2)</t>
  </si>
  <si>
    <t>2.2(2) #1</t>
  </si>
  <si>
    <t>มีการกำหนดกระบวนการและหลักเกณฑ์ในการคัดเลือกบุคคลภายนอกอย่างชัดเจนและเป็นลายลักษณ์อักษร เพื่อให้มั่นใจว่าผู้ให้บริการภายนอกจะสามารถให้บริการได้ตรงตามความต้องการของผู้ประกอบธุรกิจ โดยการตัดสินใจในการใช้บริการ การเชื่อมต่อ หรือการเข้าถึงข้อมูลจากบุคคลภายนอกที่มีความเสี่ยงหรือมีนัยสำคัญ ควรได้รับความเห็นชอบจากคณะกรรมการหรือผู้บริหารระดับสูงที่ได้รับมอบหมาย</t>
  </si>
  <si>
    <r>
      <t xml:space="preserve">1. สัมภาษณ์ ผู้บริหารด้าน IT  เพื่อให้เข้าใจถึงขั้นตอนและหลักเกณฑ์การคัดเลือกบุคคลภายนอก
2. สอบทาน "วิธีปฏิบัติและหลักเกณฑ์ในการคัดเลือกบุคคลภายนอก" เพื่อให้มั่นใจว่า
   </t>
    </r>
    <r>
      <rPr>
        <sz val="10"/>
        <rFont val="Tahoma"/>
        <family val="2"/>
        <scheme val="major"/>
      </rPr>
      <t xml:space="preserve"> (1) มีการกำหนดกระบวนการและหลักเกณฑ์การคัดเลือกบุคคลภายนอกอย่างชัดเจน และเป็นลายลักษณ์อักษร
    (2) มีการระบุให้คณะกรรมการหรือผู้บริหารระดับสูงที่ได้รับมอบหมายเห็นชอบกรณีที่มีการตัดสินใจใช้บริการ การเชื่อมต่อ หรือการเข้าถึงข้อมูลจากบุคคลภายนอกที่มีความเสี่ยงหรือมีนัยสำคัญ</t>
    </r>
  </si>
  <si>
    <t>D2.2 #12</t>
  </si>
  <si>
    <t>2.2(2) #2</t>
  </si>
  <si>
    <t>มีการกำหนดวิธีปฏิบัติและหลักเกณฑ์ในการคัดเลือกบุคคลภายนอก โดยคำนึงถึงเรื่องดังนี้
    (1) ฐานะทางการเงิน ชื่อเสียง ความรู้ความเชี่ยวชาญ ประสบการณ์ และความสามารถในการให้บริการในช่วงที่ผ่านมา และระบบการบริหารงานภายใน
    (2) การบริหารจัดการความเสี่ยง การควบคุมภายใน การตรวจสอบภายใน และการติดตามผลการปฏิบัติงาน
    (3) การรักษาความมั่นคงปลอดภัยด้าน IT
    (4) การบริหารจัดการความต่อเนื่องทางธุรกิจ และความพร้อมรับมือภัยหรือเหตุการณ์ต่าง ๆ
    (5) การปฏิบัติตามกฎหมายและกฎเกณฑ์ที่เกี่ยวข้อง
    (6) การปฏิบัติตามมาตรฐานสากลด้าน IT
    (7) การใช้ IT แบบเปิด (open technology) เพื่อให้สามารถนำระบบไปใช้งานหรือเชื่อมโยงกับระบบอื่นได้ (interoperability) และลดข้อจำกัดในการย้ายหรือเปลี่ยนแปลง IT ผู้ให้บริการหรือพันธมิตร รวมถึงข้อจำกัดในการนำระบบหรือข้อมูลกลับมาดำเนินการเอง 
    (8) การที่บุคคลภายนอกมอบหมายการปฏิบัติงานที่สำคัญให้กับบุคคลอื่นต่อ (sub-contractor to another supplier)</t>
  </si>
  <si>
    <r>
      <t xml:space="preserve">1. </t>
    </r>
    <r>
      <rPr>
        <sz val="10"/>
        <rFont val="Tahoma"/>
        <family val="2"/>
        <scheme val="major"/>
      </rPr>
      <t>สัมภาษณ์ ผู้บริหารด้าน IT  เพื่อให้เข้าใจถึงขั้นตอนและหลักเกณฑ์การคัดเลือกบุคคลภายนอก
2. สอบทาน "วิธีปฏิบัติและหลักเกณฑ์ในการคัดเลือกบุคคลภายนอก" เพื่อให้มั่นใจว่า มีการกำหนดกระบวนการและหลักเกณฑ์การคัดเลือกบุคคลภายนอก (due diligence) โดยมีการคำนึงถึง
    (1) ฐานะทางการเงิน ชื่อเสียง ความรู้ความเชี่ยวชาญ ประสบการณ์ และความสามารถในการให้บริการในช่วงที่ผ่านมา และระบบการบริหารงานภายใน
    (2) การบริหารจัดการความเสี่ยง การควบคุมภายใน การตรวจสอบภายใน และการติดตามผลการปฏิบัติงาน
    (3) การรักษาความมั่นคงปลอดภัยด้าน IT
    (4) การบริหารจัดการความต่อเนื่องทางธุรกิจ และความพร้อมรับมือภัยหรือเหตุการณ์ต่าง ๆ
    (5) การปฏิบัติตามกฎหมายและกฎเกณฑ์ที่เกี่ยวข้อง เช่น การขอตรวจสอบเอกสารหลักฐานหรือใบรับรองจากบุคคลภายนอกในการดำเนินการตามกฎหมายและกฎเกณฑ์ที่เกี่ยวข้อง หรือการตรวจสอบประวัติด้านการกระทำความผิด เป็นต้น
    (6) การปฏิบัติตามมาตรฐานสากลด้าน IT เช่น การตรวจสอบเอกสารหลักฐานการได้รับการรองรับตามมาตรฐาน ISO 27001 เป็นต้น โดยการรับรองการปฏิบัติตามมาตรฐานสากล ผู้ประกอบธุรกิจควรพิจารณาว่า บุคคลภายนอกได้รับการรับรองในส่วนระบบที่สำคัญ หรือระบบที่ผู้ประกอบธุรกิจใช้บริการ เชื่อมต่อ หรือเข้าถึงข้อมูล หรือได้รับการรับรองครอบคลุมทั้งองค์กร
    (7) การใช้ IT แบบเปิด (open technology) เพื่อให้สามารถนำระบบไปใช้งานหรือเชื่อมโยงกับระบบอื่นได้ (interoperability) และลดข้อจำกัดในการย้ายหรือเปลี่ยนแปลง IT ผู้ให้บริการหรือพันธมิตร รวมถึงข้อจำกัดในการนำระบบหรือข้อมูลกลับมาดำเนินการเอง 
3. สุ่มสอบทาน "รายงานผลการคัดเลือกบุคคลภายนอก" เพื่อให้มั่นใจว่า การคัดเลือกบุคคลภายนอกสอดคล้องกับกระบวนการและหลักเกณฑ์การคัดเลือกบุคคลภายนอก (due diligence) อย่างถูกต้องและครบถ้วนตามที่ได้กำหนดไว้</t>
    </r>
  </si>
  <si>
    <t>D2.2 #13</t>
  </si>
  <si>
    <t>2(9)</t>
  </si>
  <si>
    <t>2.2(2) #2(9)</t>
  </si>
  <si>
    <t>มีการประเมินด้านคุณภาพและความน่าเชื่อถือของบุคคลภายนอก โดยพิจารณาจากประสบการณ์ คุณภาพของบริการและผลงานที่ส่งมอบ ตลอดจนมาตรฐานด้านความปลอดภัย IT ที่เกี่ยวข้องกับสินค้าและบริการ และจัดทำเป็นรายชื่อบุคคลภายนอกที่เชื่อถือได้ (trusted third-party/trusted vendor) เพื่อใช้เป็นส่วนหนึ่งของเกณฑ์การคัดเลือกผู้ให้บริการในอนาคต</t>
  </si>
  <si>
    <t xml:space="preserve">1. สอบทาน "วิธีปฏิบัติและหลักเกณฑ์ในการคัดเลือกบุคคลภายนอก" เพื่อให้มั่นใจว่า มีการกำหนดกระบวนการการประเมินคุณภาพและความน่าเชื่อถือของบุคลภายนอก โดยครอบคลุมเรื่องการปฏิบัติตามข้อผูกพันทางสัญญาไว้ในวิธีปฏิบัติและหลักเกณฑ์ในการคัดเลือกบุคคลภายนอก  
2. สุ่มสอบทาน  "ผลการประเมินด้านคุณภาพและความน่าเชื่อของบุคคภายนอก" เพื่อให้มั่นใจว่า มีการประเมินคุณภาพและความน่าเชื่อถือของบุคคลภายนอก ที่ครอบคลุมเรื่องการปฏิบัติตามข้อผูกพันทางสัญญา สอดคล้องกับข้อกำหนดในวิธีปฏิบัติและหลักเกณฑ์ในการคัดเลือกบุคคลภายนอก
3. สอบทาน "รายชื่อบุคคลภายนอกที่เชื่อถือได้ (trusted third-party/trusted vendor)" เพื่อให้มั่นใจว่า มีการจัดทำรายชื่อบุคคลภายนอกที่เชื่อถือได้ (trusted third-party/trusted vendor) เพื่อใช้เป็นส่วนหนึ่งของเกณฑ์การคัดเลือกผู้ให้บริการในอนาคต
</t>
  </si>
  <si>
    <t>D2.2 #14</t>
  </si>
  <si>
    <t>2.2(3)</t>
  </si>
  <si>
    <t>2.2(3) #1</t>
  </si>
  <si>
    <t>มีการกำหนดบทบาท หน้าที่ และความรับผิดชอบของผู้ประกอบธุรกิจและบุคคลภายนอกอย่างชัดเจน เป็นลายลักษณ์อักษร และมีการลงนามร่วมกันระหว่างผู้ประกอบธุรกิจและบุคคลภายนอก เช่นการทำสัญญาหรือข้อตกลงการใช้บริการ การเชื่อมต่อ หรือการเข้าถึงข้อมูลจากบุคคลภายนอก เพื่อให้มั่นใจได้ว่าบุคคลภายนอกมีหน้าที่รับผิดชอบในการรักษาความมั่นคงปลอดภัยของระบบ IT ในระดับที่เหมาะสม โดยควรพิจารณาการกำหนดรายละเอียด ดังนี้
    (1) ขอบเขตการให้บริการ การเชื่อมต่อ และการเข้าถึงข้อมูลจากบุคคลภายนอก
    (2) บทบาท หน้าที่ และความรับผิดชอบ
    (3) มาตรฐานขั้นต่ำในการปฏิบัติงานของบุคคลภายนอก 
    (4) ข้อตกลงระดับการให้บริการด้าน IT (SLA) และความรับผิดชอบของบุคคลภายนอกต่อความเสียหายที่เกิดจากบุคคลภายนอก เช่น กรณีการให้บริการที่ไม่เป็นไปตาม SLA ที่กำหนดไว้ เป็นต้น
    (5) การติดตามและรายงานผลการปฏิบัติงานของบุคคลภายนอก 
    (6) รายชื่อ และช่องทางการติดต่อในกรณีเกิดปัญหาเกี่ยวกับการรักษาความมั่นคงปลอดภัยของระบบ IT
    (7) การทำลายข้อมูลเมื่อสิ้นสุดสัญญาหรือข้อตกลง
    (8) เงื่อนไขหรือสิทธิของผู้ประกอบธุรกิจในการเปลี่ยนแปลง ยุติ หรือยกเลิกสัญญาหรือข้อตกลงกับบุคคลภายนอก 
    (9) การจัดให้มีทรัพยากร เช่น บุคลากร ระบบงาน และเทคโนโลยี เป็นต้น ที่สอดรับกับแผนฉุกเฉินด้าน IT ของผู้ประกอบธุรกิจ (Recovery Point Objective (RPO)  Maximum Tolerable Downtime (MTD)  และ Recovery Time Objective (RTO))
โดยมีการประเมินความเสี่ยงและแนวทางควบคุมความเสี่ยง พร้อมทั้งขออนุมัติยกเว้นจากผู้มีอำนาจ หากมีข้อจำกัดในการระบุรายละเอียดและกำหนดเงื่อนไขที่สำคัญลงในข้อตกลงหรือสัญญา</t>
  </si>
  <si>
    <t xml:space="preserve">1. สัมภาษณ์ ผู้บริหารด้าน IT  เพื่อให้เข้าใจถึงการกำหนดข้อตกลงที่จัดทำขึ้นระหว่างบุคคลภายนอกและผู้ประกอบธุรกิจ และให้มั่นใจได้ว่าบุคคลภายนอกมีหน้าที่รับผิดชอบในการรักษาความมั่นคงปลอดภัยของระบบ IT ในระดับที่เหมาะสมโดยมีการสื่อสารให้เข้าใจเพื่อบริหารจัดการความเสี่ยงต่อความมั่นคงปลอดภัยสารสนเทศที่เกี่ยวข้องอย่างมีประสิทธิภาพ
2. สอบทาน “สัญญาหรือข้อตกลงกับบุคคลภายนอก” เพื่อให้มั่นใจว่า มีการจัดทำข้อตกลงอย่างเป็นลายลักษณ์อักษร และครอบคลุมถึงรายละเอียดดังต่อไปนี้
    (1) ขอบเขตการให้บริการ การเชื่อมต่อ และการเข้าถึงข้อมูลจากบุคคลภายนอก
    (2) บทบาท หน้าที่ และความรับผิดชอบของบุคคลภายนอกและผู้ประกอบธุรกิจ
    (3) มาตรฐานขั้นต่ำในการปฏิบัติงานของบุคคลภายนอก เช่น การรักษาความปลอดภัยของระบบ IT การรักษาความลับของข้อมูล และการไม่นำข้อมูลไปใช้นอกเหนือจากที่ระบุไว้ในสัญญาหรือข้อตกลงการให้บริการ เป็นต้น
    (4) ข้อตกลงระดับการให้บริการด้าน IT (service level agreement: SLA) สำหรับการใช้บริการจากบุคคลภายนอก และความรับผิดชอบของบุคคลภายนอกต่อความเสียหายที่เกิดจากบุคคลภายนอกนั้น เช่น กรณีการให้บริการไม่เป็นไปตาม SLA ที่กำหนดไว้ เป็นต้น
    (5) การให้บุคคลภายนอกรายงานผลการปฏิบัติงาน การแจ้งการเปลี่ยนแปลงที่มีนัยสำคัญ และการรายงานเหตุการณ์ผิดปกติอย่างทันการณ์ต่อผู้ประกอบธุรกิจ 
    (6) รายชื่อ และช่องทางการติดต่อในกรณีเกิดปัญหาเกี่ยวกับการรักษาความมั่นคงปลอดภัยของระบบ IT
    (7) การทำลายข้อมูลเมื่อสิ้นสุดหรือยกเลิกการใช้บริการ การเชื่อมต่อ และการเข้าถึงข้อมูลจากบุคคลภายนอก
    (8) เงื่อนไขหรือสิทธิของผู้ประกอบธุรกิจในการเปลี่ยนแปลง ยุติ หรือยกเลิกสัญญาหรือข้อตกลงกับบุคคลภายนอก เช่น กรณีที่บุคคลภายนอกมีการละเมิดสัญญาหรือข้อตกลง เป็นต้น
    (9) การจัดให้มีทรัพยากร ที่สอดรับกับแผนฉุกเฉินด้าน IT ของผู้ประกอบธุรกิจ อย่างมีประสิทธิภาพ
3. สอบทาน หลักฐานการขออนุมัติยกเว้นจากผู้มีอำนาจ กรณีไม่สามารถระบุรายละเอียดและกำหนดเงื่อนไขสำคัญในข้อตกลงหรือสัญญาที่จัดทำกับบุคคลภายนอก </t>
  </si>
  <si>
    <t>D2.2 #15</t>
  </si>
  <si>
    <t>2.2(4)</t>
  </si>
  <si>
    <t>2.2(4) #1</t>
  </si>
  <si>
    <t>ข้อตกลงหรือสัญญาการให้บริการระหว่างผู้ประกอบธุรกิจและบุคคลภายนอกที่เป็นผู้ให้บริการงานด้าน IT รายที่มีนัยสำคัญ มีการระบุสิทธิให้ผู้ประกอบธุรกิจ สำนักงาน และผู้ตรวจสอบภายนอกที่ได้รับการแต่งตั้งจากผู้ประกอบธุรกิจหรือสำนักงาน สามารถเข้าตรวจสอบการดำเนินงานและการควบคุมภายในของบุคคลภายนอกดังกล่าวได้
กรณีที่ไม่สามารถระบุสิทธิข้างต้น การเลือกใช้บุคคลภายนอกจะมีการพิจารณาอย่างรัดกุมและเหมาะสมกับความเสี่ยง เช่น พิจารณาจากผลการตรวจสอบด้าน IT ของบุคคลภายนอกที่ดำเนินการโดยผู้ตรวจสอบภายนอกที่มีความเป็นอิสระและได้มาตรฐานสากล</t>
  </si>
  <si>
    <t>1. สอบทาน "สัญญาจ้างหรือข้อตกลงเรื่องการใช้บริการในงานที่เกี่ยวกับระบบสารสนเทศ" เพื่อให้มั่นใจว่ามีข้อกำหนดให้ผู้ประกอบธุรกิจ สำนักงานและผู้ตรวจสอบภายนอกที่ได้รับการแต่งตั้งจากผู้ประกอบธุรกิจหรือสำนักงาน สามารถเข้าตรวจสอบกระบวนการปฏิบัติงานของผู้รับดำเนินการไว้ในสัญญาหรือข้อตกลงในการใช้บริการ 
2. สอบทาน หลักฐานการจัดให้มีมาตรการทดแทนในกรณีที่ไม่สามารถระบุสิทธิในการเข้าตรวจสอบดังกล่าวไว้ในข้อตกลงหรือสัญญาได้ เช่น เอกสารการเลือกบุคคลภายนอก ที่มีการพิจารณาผลการตรวจสอบด้าน IT ซึ่งจัดทำโดย independent third party auditors เช่น ผลการตรวจสอบตามมาตรฐาน SSAE 18 (SOC 2 Type 2 Report) หรือ PCI-DSS Attestation of Compliance (AOC) เป็นต้น</t>
  </si>
  <si>
    <t>D2.2 #16</t>
  </si>
  <si>
    <t>2.2(5)</t>
  </si>
  <si>
    <t>2.2(5) #1</t>
  </si>
  <si>
    <t>มีการจัดทำข้อตกลงการไม่เปิดเผยความลับ (non-disclosure agreement) สำหรับบุคคลภายนอกหรือผู้รับดำเนินการช่วงของบุคคลภายนอก ในกรณีที่บุคคลดังกล่าวสามารถเข้าถึงข้อมูลสำคัญของผู้ประกอบธุรกิจหรือข้อมูลของลูกค้าที่อยู่ในรูปแบบอิเล็กทรอนิกส์และอยู่ภายใต้การควบคุมดูแลของผู้ประกอบธุรกิจ</t>
  </si>
  <si>
    <r>
      <t>1. สัมภาษณ์ ผู้บริหารด้าน IT เกี่ยวกับกระบวนการจัดทำข้อตกลงการไม่เปิดเผยข้อมูล (non-disclosure agreement) กับบุคคลภายนอกที่สามารถเข้าถึงข้อมูลสำคัญของผู้ประกอบธุรกิจ หรือข้อมูลลูกค้าที่อยู่ในรูปแบบอิเล็กทรอนิกส์และอยู่ภายใต้การควบคุมดูแลของผู้ประกอบธุรกิจ  ถ้ามี บริษัทควรจัดทำข้อตกลงการไม่เปิดเผยข้อมูล (non-disclosure agreement) กับบุคคลภายนอก</t>
    </r>
    <r>
      <rPr>
        <strike/>
        <sz val="10"/>
        <rFont val="Tahoma"/>
        <family val="2"/>
        <scheme val="major"/>
      </rPr>
      <t xml:space="preserve">
</t>
    </r>
    <r>
      <rPr>
        <sz val="10"/>
        <rFont val="Tahoma"/>
        <family val="2"/>
        <scheme val="major"/>
      </rPr>
      <t xml:space="preserve">
2.สัมภาษณ์ ผู้บริหารด้าน IT เกี่ยวกับกระบวนการหรือวิธีการที่ทำให้ผู้ประกอบธุรกิจมั่นใจได้ว่า หากข้อมูลสำคัญของผู้ประกอบธุรกิจหรือข้อมูลของลูกค้าที่อยู่ในรูปแบบอิเล็กทรอนิกส์และอยู่ภายใต้การควบคุมดูแลของผู้ประกอบธุรกิจ  สามารถถูกเข้าถึงได้โดยผู้รับดำเนินการช่วงของบุคคลภายนอก ข้อมูลดังกล่าวจะได้รับการเก็บรักษาความลับอย่างเพียงพอเหมาะสม  เช่น กระบวนการสื่อสารจากผู้ประกอบธุรกิจไปยังบุคคลภายนอก หากบุุคคลภายนอกทำสัญญากับผู้รับดำเนินการช่วง บุคคลภายนอกต้องคำนึงถึงการเก็บรักษาความลับของข้อมูลผู้ประกอบธุรกิจด้วย และให้ผู้ประกอบธุรกิจแสดงเอกสารหลักฐานในเรื่องดังกล่าว (ถ้ามี)</t>
    </r>
    <r>
      <rPr>
        <strike/>
        <sz val="10"/>
        <rFont val="Tahoma"/>
        <family val="2"/>
        <scheme val="major"/>
      </rPr>
      <t xml:space="preserve">
</t>
    </r>
    <r>
      <rPr>
        <sz val="10"/>
        <rFont val="Tahoma"/>
        <family val="2"/>
        <scheme val="major"/>
      </rPr>
      <t xml:space="preserve">
3. สอบทาน "สัญญาหรือข้อตกลงกับบุคคลภายนอก"  เพื่อให้มั่นใจว่า มีกำหนดข้อตกลงการไม่เปิดเผยความลับ (non-disclosure agreement) โดยรายละเอียดครอบคลุมถึง
    (1) ขอบเขตความรับผิดชอบในการเก็บรักษาความลับ
    (2) การไม่เปิดเผยข้อมูลโดยไม่ได้รับอนุญาต
    (3) การรายงานผู้ประกอบธุรกิจเมื่อพบการรั่วไหลหรือเปิดเผยข้อมูลโดยไม่ได้รับอนุญาต
    (4) การทำลายข้อมูลที่มีความสำคัญเมื่อสิ้นสุดข้อตกลงหรือสัญญา
ทั้งนี้ข้อตกลงการไม่เปิดเผยความลับ (non-disclosure agreement) อาจกำหนดไว้เป็นส่วนหนึ่งของสัญญาหรือข้อตกลงกับบุคคลภายนอกได้</t>
    </r>
  </si>
  <si>
    <t>D2.2 #17</t>
  </si>
  <si>
    <t>2.2(6)</t>
  </si>
  <si>
    <t>1(1)</t>
  </si>
  <si>
    <t>2.2(6) #1(1)</t>
  </si>
  <si>
    <t>มีการกำหนดผู้รับผิดชอบในการกำกับดูแล และติดตามผลการปฏิบัติงานของบุคคลภายนอกอย่างต่อเนื่อง โดยพิจารณาตามขอบเขต ระดับความเสี่ยงและความมีนัยสำคัญของการใช้บริการ การเชื่อมต่อ หรือการเข้าถึงข้อมูลจากบุคคลภายนอก</t>
  </si>
  <si>
    <t xml:space="preserve">1. สัมภาษณ์ผู้บริหารด้าน IT เกี่ยวกับการกำหนดผู้รับผิดชอบในการกำกับดูแล และติดตามผลการปฏิบัติงานของบุคคลภายนอกอย่างต่อเนื่อง โดยพิจารณาตามขอบเขต ระดับความเสี่ยงและความมีนัยสำคัญของการใช้บริการ การเชื่อมต่อ หรือการเข้าถึงข้อมูลจากบุคคลภายนอก
</t>
  </si>
  <si>
    <t>D2.2 #18</t>
  </si>
  <si>
    <t>1(2)</t>
  </si>
  <si>
    <t>2.2(6) #1(2)</t>
  </si>
  <si>
    <t>มึการจัดทำทะเบียนบุคคลภายนอกเพื่อใช้ในการบริหารจัดการความเสี่ยง ติดตามและตรวจสอบการปฏิบัติงานของบุคคลภายนอกได้อย่างครบถ้วนต่อเนื่อง โดยมีรายละเอียดครอบคลุม 
    (1) ชื่อบุคคลภายนอก
    (2) รายละเอียดของการใช้บริการ การเชื่อมต่อ หรือการเข้าถึงข้อมูลจากบุคคลภายนอก
    (3) ระดับความเสี่ยงและระดับความมีนัยสำคัญ
    (4) วันเริ่มต้นและสิ้นสุดสัญญาหรือข้อตกลง</t>
  </si>
  <si>
    <t>1. สอบทาน "ทะเบียนบุคคลภายนอก" เพื่อให้สามารถใช้ในการบริหารจัดการความเสี่ยง ติดตาม และตรวจสอบการปฏิบัติงานของบุคคลภายนอกได้อย่างครบถ้วนต่อเนื่อง โดยมีรายละเอียดครอบคลุม อย่างน้อยดังนี้
    (1) ชื่อบุคคลภายนอก
    (2) รายละเอียดของการใช้บริการ การเชื่อมต่อ หรือการเข้าถึงข้อมูลจากบุคคลภายนอก
    (3) ระดับความเสี่ยงและระดับความมีนัยสำคัญ
    (4) วันเริ่มต้นและสิ้นสุดสัญญาหรือข้อตกลง</t>
  </si>
  <si>
    <t>D2.2 #19</t>
  </si>
  <si>
    <t>1(3)</t>
  </si>
  <si>
    <t>2.2(6) #1(3)</t>
  </si>
  <si>
    <t>มีการกำหนดมาตรการควบคุมและติดตามสิทธิการเข้าถึงข้อมูลสารสนเทศของบุคคลภายนอกอย่างสม่ำเสมอ เพื่อให้สิทธิดังกล่าวเป็นไปตามหลักความจำเป็นต้องรู้ (need-to-know basis)</t>
  </si>
  <si>
    <t>1. สอบทาน "การกำหนดสิทธิการเข้าถึงข้อมูลและระบบสารสนเทศของผู้รับดำเนินการ" เพื่อให้มั่นใจว่ามีการจำกัดสิทธิการเข้าถึงเฉพาะที่จำเป็น โดยอาจพิจารณาถึงข้อมูล และระบบงาน ดังนี้
    (1) ระบบงาน (application) ที่สำคัญ
    (2) ระบบปฏิบัติการ และ ระบบฐานข้อมูลของระบบงานที่สำคัญ
    (3) ระบบเครือข่าย และ อุปกรณ์เครือข่าย
    (4) การเข้าถึงข้อมูลสำคัญในที่จัดเก็บข้อมูลส่วนกลาง
    (5) การเข้าถึงสูตรการคำนวณ และ ตรรกะการประมวลผล หรือ ลิขสิทธิ์ต่างๆ</t>
  </si>
  <si>
    <t>D2.2 #20</t>
  </si>
  <si>
    <t>1(4)</t>
  </si>
  <si>
    <t>2.2(6) #1(4)</t>
  </si>
  <si>
    <t>มีการกำหนดให้บุคคลภายนอกรายงานเหตุการณ์ผิดปกติที่เกิดขึ้นระหว่างการดำเนินงานที่เกี่ยวข้องให้ผู้ประกอบธุรกิจได้รับทราบอย่างทันการณ์</t>
  </si>
  <si>
    <t>1. สอบทาน "สัญญาหรือข้อตกลงกับบุคคลภายนอก" เกี่ยวกับหน้าที่ในการแจ้งเหตุการณ์ผิดปกติที่เกิดขึ้นระหว่างการดำเนินงาน เพื่อให้มั่นใจว่าผู้ประกอบธุรกิจได้รับทราบ วิเคราะห์ และรับมือกับเหตุการณ์ผิดปกติอย่างทันการณ์</t>
  </si>
  <si>
    <t>D2.2 #21</t>
  </si>
  <si>
    <t>1(5)</t>
  </si>
  <si>
    <t>2.2(6) #1(5)</t>
  </si>
  <si>
    <t>มีการประเมินผลการปฏิบัติงานหรือผลการให้บริการของบุคคลภายนอก ทั้งในด้านประสิทธิภาพของบริการ การรักษา ความมั่นคงปลอดภัยด้าน IT และการปฏิบัติตามกฎหมายที่เกี่ยวข้อง เมื่อจะต่อสัญญาหรือเมื่อถึงรอบระยะเวลา ที่ผู้ประกอบธุรกิจกำหนด</t>
  </si>
  <si>
    <t xml:space="preserve">1. สอบทาน "ผลการสอบทานผลการปฏิบัติงานผู้รับดำเนินการ" เพื่อให้มั่นใจว่ามีการติดตาม ตรวจสอบ การดำเนินงานของผู้รับดำเนินการในรูปแบบต่างๆ อาทิ มีการประชุมเพื่อสอบถามและยืนยันกระบวนการปฏิบัติงานอย่างสม่ำเสมอ มีการสอบทานเอกสารคู่มือหรือกระบวนการในการปฏิบัติงานของผู้รับดำเนินการ ฯลฯ เป็นไปตามข้อตกลงระดับการให้บริการด้าน IT (service level agreement: SLA) </t>
  </si>
  <si>
    <t>D2.2 #22</t>
  </si>
  <si>
    <t>1(6)</t>
  </si>
  <si>
    <t>2.2(6) #1(6)</t>
  </si>
  <si>
    <t>มีการทบทวนคุณสมบัติบุคคลภายนอกอย่างสม่ำเสมอ เพื่อให้มั่นใจว่าบุคคลภายนอกยังคงมีคุณสมบัติที่เหมาะสม</t>
  </si>
  <si>
    <t>1. สอบทาน "ผลการทบทวนคุณสมบัติบุคคลภายนอก" เพื่อให้มั่นใจบุคคลภายนอกยังคงมีคุณสมบัติที่เหมาะสมตามข้อผูกพันตามสัญญา</t>
  </si>
  <si>
    <t>D2.2 #23</t>
  </si>
  <si>
    <t>2.2(7)</t>
  </si>
  <si>
    <t>2.2(7) #1</t>
  </si>
  <si>
    <t>มีการรักษาความมั่นคงปลอดภัยด้าน IT จากการใช้บริการ การเชื่อมต่อหรือการเข้าถึงข้อมูลจากบุคคลภายนอก ที่สอดคล้องกับการรักษาความมั่นคงปลอดภัยด้าน IT ของผู้ประกอบธุรกิจ หรือสอดคล้องกับมาตรฐานสากลที่ได้รับการยอมรับโดยทั่วไป</t>
  </si>
  <si>
    <t>1. สอบทาน "นโยบายเกี่ยวกับการบริหารจัดการผู้ให้บริการภายนอก" เพื่อให้มั่นใจว่านโยบายดังกล่าว ครอบคลุมถึงการรักษาความมั่นคงปลอดภัยด้าน IT จากการใช้บริการ การเชื่อมต่อหรือการเข้าถึงข้อมูลจากบุคคลภายนอกตลอด ที่สอดคล้องกับการรักษาความมั่นคงปลอดภัยด้าน IT ของผู้ประกอบธุรกิจ หรือสอดคล้องกับมาตรฐานสากลที่ได้รับการยอมรับโดยทั่วไป เช่น มาตรฐาน ISO/IEC 27001 เป็นต้น
2. สอบทาน “สัญญาหรือข้อตกลงกับบุคคลภายนอก” เพื่อให้มั่นใจว่า มีการกำหนดหน้าที่ของบุคคลภายนอกในการรักษาความมั่นคงปลอดภัยด้าน IT สอดคล้องกับการรักษาความมั่นคงปลอดภัยด้าน IT ของผู้ประกอบธุรกิจ หรือสอดคล้องกับมาตรฐานสากลที่ได้รับการยอมรับโดยทั่วไป ตามความเสี่ยง และความมีนัยสำคัญของบุคคลภายนอก</t>
  </si>
  <si>
    <t>D2.2 #24</t>
  </si>
  <si>
    <t>2.2(8)</t>
  </si>
  <si>
    <t>2.2(8) #1</t>
  </si>
  <si>
    <t>มีการเตรียมความพร้อมรับมือต่อเหตุการณ์ผิดปกติด้าน IT และปัญหาด้าน IT ที่อาจเกิดขึ้นและมีผลกระทบอย่างมีนัยสำคัญเพื่อให้สามารถให้บริการหรือดำเนินธุรกิจได้อย่างต่อเนื่อง</t>
  </si>
  <si>
    <t>1. สอบทาน “แผนรองรับเหตุการณ์ที่อาจส่งผลกระทบต่อความมั่นคงปลอดภัยของระบบสารสนเทศ (incident response plan)” เพื่อให้มั่นใจว่า มีการจัดทำและสื่อสารแผนรองรับในกรณีที่บุคคลภายนอกเกิดเหตุการณ์ผิดปกติด้าน IT ซึ่งมีผลกระทบกับการดำเนินการของผู้ประกอบธุรกิจ โดยครอบคลุมเหตุการณ์ที่เกี่ยวข้องกับเหตุการณ์ความปลอดภัยทางไซเบอร์และเหตุการณ์การละเมิดต่อข้อมูลส่วนบุคคล</t>
  </si>
  <si>
    <t>ส่วนที่ 3 การบริหารจัดการทรัพย์สินด้าน IT (IT asset management)</t>
  </si>
  <si>
    <t>D2.3 #1</t>
  </si>
  <si>
    <t>3.1 #1</t>
  </si>
  <si>
    <t xml:space="preserve">มีการกำหนดระเบียบปฏิบัติเกี่ยวกับการบริหารจัดการทรัพย์สินด้าน IT ครอบคลุมการจัดทำทะเบียนรายการทรัพย์สิน การปรับปรุงทะเบียนรายการทรัพย์สิน การยกเลิกและเรียกคืนทรัพย์สิน
</t>
  </si>
  <si>
    <t>1. สัมภาษณ์ ผู้บริหารด้าน IT  และ ผู้ที่มีหน้าที่รับผิดชอบในการดูแลทรัพย์สินทางด้านสารสนเทศ เพื่อให้เข้าใจถึงการบริหารจัดการทรัพย์สินสารสนเทศของผู้ประกอบธุรกิจ ตั้งแต่ การจัดทำทะเบียนรายการทรัพย์สิน การปรับปรุงทะเบียนรายการทรัพย์สิน การยกเลิกและเรียกคืนทรัพย์สิน โดยครอบคลุมทั้งทรัพย์สินที่บริหารจัดการโดยผู้ประกอบธุรกิจเอง และทรัพย์สินที่บริหารจัดการโดยบุคคลภายนอก
2. สอบทาน "ระเบียบปฏิบัติเกี่ยวกับการบริหารจัดการทรัพย์สินด้าน IT" เพื่อให้มั่นใจว่าเนื้อหาครอบคลุมถึง
    (1) การจัดทำทะเบียนรายการทรัพย์สิน
    (2) การปรับปรุงทะเบียนรายการทรัพย์สิน อย่างน้อยปีละ 1 ครั้ง และทุกครั้งที่มีการเปลี่ยนแปลงอย่างมีนัยสำคัญ
    (3) การยกเลิกและเรียกคืนทรัพย์สินเมื่อสิ้นสุดหรือเปลี่ยนการจ้างงาน สัญญาจ้าง หรือข้อตกลงการจ้าง โดยครอบคลุมทั้งทรัพย์สินที่บริหารจัดการโดยผู้ประกอบธุรกิจและโดยบุคคลภายนอก
3. สอบทาน "เอกสารการสอบทานระเบียบปฏิบัติเกี่ยวกับการบริหารจัดการทรัพย์สินด้าน IT" เพื่อให้มั่นใจว่าระเบียบปฏิบัติดังกล่าวได้มีการกำหนดกรอบเวลาที่ชัดเจนในการสอบทานและปรับปรุงให้เป็นปัจจุบันอย่างสม่ำเสมอ
4. สอบทาน "หลักฐานการพิจารณาปัจจัยการเปลี่ยนแปลงด้าน IT" ที่แสดงให้เห็นว่าบริษัทได้มีการนำปัจจัยการเปลี่ยนแปลงของทรัพย์สินด้าน IT ที่คาดว่าหรือกำลังจะนำมาใช้ หรือกรณีผู้ประกอบธุรกิจมีแผนการขยายธุรกิจมาพิจารณาถึงผลกระทบต่อการปรับปรุงระเบียบปฏิบัติเกี่ยวกับการบริหารจัดการทรัพย์สินด้าน IT เพื่อนำไปพัฒนาให้เป็นปัจจุบันอย่างทันท่วงที</t>
  </si>
  <si>
    <t>D2.3 #2</t>
  </si>
  <si>
    <t>3.1 #2</t>
  </si>
  <si>
    <t>มีการจัดทำทะเบียนรายการทรัพย์สินด้าน IT ประเภทอุปกรณ์ (hardware) รวมถึง virtual machine ให้ครบถ้วนและเป็นปัจจุบัน  โดยมีตัวอย่างรายละเอียด ดังนี้
    (1) เลขทะเบียนทรัพย์สิน
    (2) ประเภทฮาร์ดแวร์
    (3) รายละเอียดทางเทคนิค ยี่ห้อ รุ่น
    (4) ระบบปฏิบัติการและเวอร์ชัน
    (5) เจ้าของทรัพย์สิน
    (6) ผู้ดูแลทรัพย์สิน
    (7) สถานที่ตั้ง
    (8) วันที่เริ่มใช้งาน/วันที่ติดตั้ง
    (9) วันที่สิ้นสุดการรับประกัน หรือสิ้นสุดการใช้งานตามสัญญา
    (10) ประเภทการครอบครอง (ซื้อ หรือเช่า)</t>
  </si>
  <si>
    <t xml:space="preserve">1. สอบทาน "ทะเบียนทรัพย์สินสารสนเทศประเภทอุปกรณ์ (Hardware) รวมถึง virtual machine" เพื่อให้มั่นใจว่าองค์กรมีการบริหารจัดการทรัพย์สินได้อย่างครบถ้วน เหมาะสม และเป็นปัจจุบัน โดยมีตัวอย่างรายละเอียด ดังนี้
    (1) เลขทะเบียนทรัพย์สิน
    (2) ประเภทฮาร์ดแวร์
    (3) รายละเอียดทางเทคนิค ยี่ห้อ รุ่น
    (4) ระบบปฏิบัติการและเวอร์ชัน
    (5) เจ้าของทรัพย์สิน
    (6) ผู้ดูแลทรัพย์สิน
    (7) สถานที่ตั้ง
    (8) วันที่เริ่มใช้งาน/วันที่ติดตั้ง
    (9) วันที่สิ้นสุดการรับประกัน หรือสิ้นสุดการใช้งานตามสัญญา
    (10) ประเภทการครอบครอง (ซื้อ หรือเช่า)
</t>
  </si>
  <si>
    <t>D2.3 #3</t>
  </si>
  <si>
    <t>3.1 #3</t>
  </si>
  <si>
    <t>จัดทำทะเบียนรายการทรัพย์สินด้าน IT ประเภทซอฟต์แวร์ (software) ให้ครบถ้วนและเป็นปัจจุบัน โดยมีตัวอย่างรายละเอียด ดังนี้
    (1) เลขทะเบียนทรัพย์สิน
    (2) ชื่อซอฟต์แวร์
    (3) รายละเอียดทางเทคนิค / การใช้งาน
    (4) ระบบปฏิบัติการและเวอร์ชัน
    (5) หน่วยงานภายในผู้เป็นเจ้าของซอฟต์แวร์
    (6) วันลงทะเบียนซอฟต์แวร์
    (7) วันที่สิ้นสุดการใช้บริการ
    (8) เลขทะเบียนทรัพย์สินฮาร์ดแวร์ที่อ้างอิง</t>
  </si>
  <si>
    <t>1. สอบทาน "ทะเบียนรายการทรัพย์สินด้าน IT ประเภทซอฟต์แวร์ (software)" เพื่อให้มั่นใจว่ามีการจัดทำทะเบียนทรัพย์สินดังกล่าวอย่างครบถ้วนและเป็นปัจจุบัน โดยมีตัวอย่างรายละเอียด ดังนี้
    (1) เลขทะเบียนทรัพย์สิน
    (2) ชื่อซอฟต์แวร์
    (3) รายละเอียดทางเทคนิค / การใช้งาน
    (4) ระบบปฏิบัติการและเวอร์ชัน
    (5) หน่วยงานภายในผู้เป็นเจ้าของซอฟต์แวร์
    (6) วันลงทะเบียนซอฟต์แวร์
    (7) วันที่สิ้นสุดการใช้บริการ
    (8) เลขทะเบียนทรัพย์สินฮาร์ดแวร์ที่อ้างอิง</t>
  </si>
  <si>
    <t>D2.3 #4</t>
  </si>
  <si>
    <t>3.1 #4</t>
  </si>
  <si>
    <t>จัดให้มีการปรับปรุงทะเบียนทรัพย์สินสารสนเทศต่าง ๆ ให้ครบถ้วนและเป็นปัจจุบันอยู่อย่างสม่ำเสมอ อย่างน้อยปีละ 1 ครั้ง และทุกครั้งที่มีการเปลี่ยนแปลงระบบ IT อย่างมีนัยสำคัญ</t>
  </si>
  <si>
    <t>1. สอบทานหลักฐานการทบทวนและปรับปรุงทะเบียนทรัพย์สินสารสนเทศต่าง ๆ เพื่อให้มั่นใจว่ามีการดำเนินการอย่างน้อยปีละ 1 ครั้ง และทุกครั้งที่มีการเปลี่ยนแปลงระบบ IT อย่างมีนัยสำคัญ
(M4) 2. สอบทาน "รายงานผลการสอบทานทะเบียนทรัพย์สินด้าน IT" ทั้งประเภทฮาร์ดแวร์และซอฟต์แวร์โดยบุคคลหรือหน่วยงานที่มีความเป็นอิสระจากหน่วยงานที่ทำหน้าที่ปฏิบัติงานเพื่อให้มั่นใจว่ามีการกำหนดผู้รับผิดชอบทรัพย์สินถูกต้อง ครบถ้วน
(M5) 3. สอบทาน "หลักฐานการใช้เครื่องมือหรือกลไกอัตโนมัติ"  เพื่อให้มั่นใจว่ามีการใช้เครื่องมือในการสอบทานความถูกต้องของทะเบียนทรัพย์สิน รวมทั้ง มีการแจ้งเตือนกรณีตรวจพบความผิดปกติ เช่น กรณีทรัพย์สินที่ไม่มีผู้ดูแล หรือ ทรัพย์สินที่มีผู้ดูแลมากกว่า 1 คน หรือ ผู้ดูแลที่ดูแลทรัพย์สินมากกว่า 2 รายการ หรือ ทรัพย์สินที่ระบุชื่อผู้ดูแลเป็นพนักงานที่สิ้นสุดการจ้างงาน ให้แก่ผู้ที่เกี่ยวข้องทราบทันที</t>
  </si>
  <si>
    <t>ไม่มีการทบทวนและปรับปรุงทะเบียนทรัพย์สินให้เป็นปัจจุบัน</t>
  </si>
  <si>
    <t>มีการทบทวนและปรับปรุงทะเบียนทรัพย์สินอย่างน้อยปีละ 1 ครั้ง แต่ข้อมูลไม่ถูกต้อง หรือไม่ครบถ้วน</t>
  </si>
  <si>
    <t>มีการปรับปรุงทะเบียนทรัพย์สินครบถ้วนและเป็นปัจจุบันอยู่อย่างสม่ำเสมอ อย่างน้อยปีละ 1 ครั้ง และทุกครั้งที่มีการเปลี่ยนแปลงระบบ IT อย่างมีนัยสำคัญ</t>
  </si>
  <si>
    <t>มีการจัดทำตาม Maturity Level 3 รวมถึงมีการสอบทานความถูกต้องของทะเบียนทรัพย์สินโดยบุคคลหรือหน่วยงานที่มีความเป็นอิสระจากหน่วยงานที่ทำหน้าที่ปฏิบัติงาน</t>
  </si>
  <si>
    <t>มีการจัดทำตาม Maturity Level 4 รวมถึงมีการใช้เครื่องมืออัตโนมัติ (automated tools) ในการสอบทานความถูกต้องของทะเบียนทรัพย์สอน รวมทั้ง มีการแจ้งเตือนกรณีตรวจพบความผิดปกติ เช่น กรณีทรัพย์สินที่ไม่มีผู้ดูแล หรือ ทรัพย์สินที่มีผู้ดูแลมากกว่า 1 คน หรือ ผู้ดูแลที่ดูแลทรัพย์สินมากกว่า 2 รายการ หรือ ทรัพย์สินที่ระบุชื่อผู้ดูแลเป็นพนักงานที่สิ้นสุดการจ้างงาน เป็นต้น ให้แก่ผู้ที่เกี่ยวข้องทราบทันที</t>
  </si>
  <si>
    <t>D2.3 #5</t>
  </si>
  <si>
    <t>3.2 #1</t>
  </si>
  <si>
    <t>กำหนดบุคคลหรือหน่วยงานซึ่งรับผิดชอบในการจัดทำและปรับปรุงทะเบียนรายการทรัพย์สินด้าน IT  แต่ละรายการ รวมถึงบำรุงรักษาทรัพย์สินด้าน IT แต่ละรายการอย่างสม่ำเสมอตลอดอายุการใช้งานของทรัพย์สินดังกล่าว</t>
  </si>
  <si>
    <t xml:space="preserve">1. สอบทาน "ทะเบียนทรัพย์สินด้าน IT" ทั้งประเภทฮาร์ดแวร์และซอฟต์แวร์ เพื่อให้มั่นใจว่า ทะเบียนทรัพย์สินดังกล่าวมีการระบุถึงเจ้าของ หรือผู้รับผิดชอบทรัพย์สินทุกรายการอย่างชัดเจนและครบถ้วน
</t>
  </si>
  <si>
    <t>D2.3 #6</t>
  </si>
  <si>
    <t>3.3 #1</t>
  </si>
  <si>
    <t xml:space="preserve">มีการบำรุงรักษาทรัพย์สินด้าน IT ให้มีสภาพพร้อมใช้งานและรองรับการดำเนินธุรกิจอย่างต่อเนื่อง พร้อมทั้งวางแผนรองรับทรัพย์สินด้าน IT ที่ใกล้จะสิ้นสุดอายุการใช้งาน (end of life) หรือสิ้นสุดการสนับสนุนหรือให้บริการจากผู้ผลิต (end of support) ได้อย่างเหมาะสมทันการณ์ 
พร้อมทั้ง มีมาตรการควบคุมความเสี่ยง ในกรณีที่มีความจำเป็นต้องใช้ทรัพย์สินที่สิ้นสุดอายุการใช้งานหรือสิ้นสุดการสนับสนุนหรือให้บริการจากผู้ผลิต </t>
  </si>
  <si>
    <t>1. สัมภาษณ์ ผู้บริหารด้าน IT เกี่ยวกับการบริหารจัดการทรัพยสินที่จะสิ้นสุดอายุการใช้งาน (end of life) หรือสิ้นสุดการสนับสนุนหรือให้บริการจากผู้ผลิต (end of support) เพื่อให้มีการบริหารจัดการความเสี่ยงจากการใช้งานอุปกรณ์ดังกล่าวอย่างเหมาะสม
2. สอบทาน "นโยบาย หรือขั้นตอนการปฏิบัติงานเกี่ยวกับการบริหารจัดการทรัพย์สินสารสนเทศ" เพื่อให้มั่นใจว่าเนื้อหาครอบคลุมถึงการบำรุงรักษาทรัพย์สินด้าน IT ให้มีสภาพพร้อมใช้งานและรองรับการดำเนินธุรกิจอย่างต่อเนื่อง รวมทั้งการประเมินความเสี่ยงและจัดทำมาตรการควบคุมความเสี่ยงหากจำเป็นต้องใช้ทรัพย์สินที่สิ้นสุดอายุการใช้งานหรือสิ้นสุดการสนับสนุนหรือให้บริการจากผู้ผลิต
3. สอบทาน "ผลการประเมินความเสี่ยงและมาตรการควบคุมความเสี่ยง ในกรณีที่มีความจำเป็นต้องใช้ทรัพย์สินที่สิ้นสุดอายุการใช้งานหรือสิ้นสุดการสนับสนุนหรือให้บริการจากผู้ผลิต (ถ้ามี)" เพื่อให้มั่นใจว่าการใช้งานทรัพย์สินที่สิ้นสุดอายุการใช้งานเหล่านั้นได้รับการควบคุมและบริหารจัดการความเสี่ยงได้อย่างถูกต้องเหมาะสม
(M4) 4. สอบทาน "หลักฐานการสอบทานทรัพย์สินด้าน IT ที่ใกล้จะสิ้นสุดอายุการใช้งาน (end of life) หรือสิ้นสุดการสนับสนุนหรือให้บริการจากผู้ผลิต (end of support)" เพื่อให้มั่นใจว่าทรัพย์สินเหล่านี้จะได้รับการบำรุงรักษาอย่างเหมาะสมทันการณ์
(M5) 5. สอบทาน "หลักฐานการใช้เครื่องมือหรือกลไกอัตโนมัติ (automated tools) สำหรับการบริหารทรัพย์สินด้าน IT ที่ใกล้จะสิ้นสุดอายุการใช้งาน (end of life) หรือสิ้นสุดการสนับสนุนหรือให้บริการจากผู้ผลิต (end of support)" เพื่อให้มั่นใจว่ามีการใช้เครื่องมือในการตรวจจับทรัพย์สินที่ใกล้หรือสิ้นสุดอายุการใช้งาน (end of life) หรือสิ้นสุดการสนับสนุนหรือให้บริการจากผู้ผลิต (end of support) ไปแล้ว ได้อย่างเหมาะสมและทันการณ์</t>
  </si>
  <si>
    <t>ผู้ประกอบธุรกิจไม่มีการบำรุงรักษาทรัพย์สินด้าน IT และไม่มีการวางแผนรองรับทรัพย์สินด้าน IT ที่ใกล้ end of life หรือ end of support ได้อย่างเหมาะสมทันการณ์</t>
  </si>
  <si>
    <t>ผู้ประกอบธุรกิจมีการบำรุงรักษาทรัพย์สินด้าน IT  หรือ มีการวางแผนรองรับทรัพย์สินด้าน IT ที่ใกล้ end of life หรือ end of support ไม่ครอบคลุม/ครบถ้วน</t>
  </si>
  <si>
    <t>ผู้ประกอบธุรกิจมีการบำรุงรักษาทรัพย์สินด้าน IT และ มีการวางแผนรองรับทรัพย์สินด้าน IT ที่ใกล้ end of life หรือ end of support โดยมีการประเมินความเสี่ยงและจัดทำมาตรการควบคุมความเสี่ยงหากจำเป็นต้องใช้ทรัพย์สินดังกล่าว</t>
  </si>
  <si>
    <t>มีการจัดทำตาม Maturity Level 3 รวมถึงมีการสอบทาน/ติดตามความเสี่ยง end of life หรือ end of support ซึ่งบริษัทยังคงใช้งานอยู่</t>
  </si>
  <si>
    <t xml:space="preserve">มีการจัดทำตาม Maturity Level 4 รวมถึงมีการใช้เครื่องมืออัตโนมัติ (automated tools) ในการตรวจจับและแจ้งเตือนทรัพย์สินที่ใกล้หรือสิ้นสุดอายุการใช้งาน (end of life) หรือสิ้นสุดการสนับสนุนหรือให้บริการจากผู้ผลิต (end of support) แล้ว </t>
  </si>
  <si>
    <t>ส่วนที่ 4  การรักษาความมั่นคงปลอดภัยของข้อมูล (data security)</t>
  </si>
  <si>
    <t>D2.4 #1</t>
  </si>
  <si>
    <t>4.1 #1</t>
  </si>
  <si>
    <t>มีการกำหนดบุคคลหรือหน่วยงานซึ่งเป็นเจ้าของข้อมูล (data owner) เพื่อรับผิดชอบในการกำหนดผู้ใช้งาน สิทธิการเข้าถึงและแก้ไขเปลี่ยนแปลงข้อมูล และวิธีปฏิบัติในการใช้งานข้อมูลอย่างปลอดภัย</t>
  </si>
  <si>
    <t xml:space="preserve">1. สัมภาษณ์ ผู้บริหารด้าน IT เกี่ยวกับ การกำหนดหรือมอบหมายหน้าที่ความเป็นเจ้าของข้อมูล เพื่อรับผิดชอบในการกำหนดผู้ใช้งาน สิทธิการเข้าถึงและแก้ไขเปลี่ยนแปลงข้อมูล และวิธีปฏิบัติในการใช้งานข้อมูลอย่างปลอดภัย
2. สอบทาน "นโยบาย หรือ ขั้นตอนการปฏิบัติงานเกี่ยวกับการรักษาความมั่นคงปลอดภัยของข้อมูล” เพื่อให้มั่นใจว่า นโยบายมีการระบุให้กำหนดบุคคลหรือหน่วยงานซึ่งเป็นเจ้าของข้อมูล (data owner) เพื่อรับผิดชอบในการกำหนดผู้ใช้งาน สิทธิการเข้าถึงและแก้ไขเปลี่ยนแปลงข้อมูล และวิธีปฏิบัติในการใช้งานข้อมูลอย่างปลอดภัย
3. สอบทาน "ทะเบียนข้อมูล (data inventory)" เพื่อให้มั่นใจว่ามีการกำหนดบุคคลหรือหน่วยงานที่เป็นเจ้าของข้อมูล (Data owner)
(M4) 4. สอบทาน "หลักฐานการสอบทานการกำหนดบุคคลหรือหน่วยงานซึ่งเป็นเจ้าของข้อมูล (data owner)" เพื่อให้มั่นใจว่ามีการสอบทานความเหมาะสมของบุคคลหรือหน่วยงานซึ่งเป็นเจ้าของข้อมูล (data owner) ตามภาระหน้าที่อย่างเป็นประจำ และมีความเป็นปัจจุบันอยู่เสมอ
(M5) 5. สอบทานหรือสังเกตการณ์ "หลักฐานการใช้เครื่องมืออัตโนมัติในการจัดการบุคคลหรือหน่วยงานเป็นเจ้าของข้อมูล (data owner)" เพื่อให้มั่นใจว่ามีการใช้เครื่องมือ เช่น data governance tools เป็นต้น ในการกำหนดบุคคลหรือหน่วยงานซึ่งเป็นเจ้าของของข้อมูล (data owner) กำหนดสิทธิการเข้าถึงและแก้ไขเปลี่ยนแปลงข้อมูล การอนุมัติแก้ไขเปลี่ยนแปลงข้อมูล </t>
  </si>
  <si>
    <t>ไม่มีการกำหนดบุคคลหรือหน่วยงานซึ่งเป็นเจ้าของข้อมูล (data owner)</t>
  </si>
  <si>
    <t xml:space="preserve">มีการกำหนดบุคคลหรือหน่วยงานซึ่งเป็นเจ้าของข้อมูล (data owner) แต่ไม่ครบถ้วนทุกรายการ </t>
  </si>
  <si>
    <t xml:space="preserve">มีการกำหนดบุคคลหรือหน่วยงานซึ่งเป็นเจ้าของข้อมูล (data owner) ของข้อมูลอย่างครบถ้วนทุกรายการ </t>
  </si>
  <si>
    <t>มีการจัดทำตาม Maturity Level 3 รวมถึงมีการสอบทานการกำหนดบุคคลหรือหน่วยงานซึ่งเป็นเจ้าของข้อมูล (data owner) เพื่อให้มั่นใจว่าบุคคลผู้เป็นเจ้าของข้อมูลดังกล่าวมีความเป็นปัจจุบัน และสอดคล้องกับหน้าที่ความรับผิดชอบอย่างสม่ำเสมอ</t>
  </si>
  <si>
    <t>มีการจัดทำตาม Maturity Level 4 รวมถึงมีการใช้เครื่องมืออัตโนมัติ (automated tools) ในการสอบทานการกำหนดบุคคลหรือหน่วยงานเป็นเจ้าของของข้อมูล (data owner)</t>
  </si>
  <si>
    <t>D2.4 #2</t>
  </si>
  <si>
    <t>4.2 #1</t>
  </si>
  <si>
    <t>มีการกำหนดหลักเกณฑ์การจัดชั้นความลับของข้อมูล (data classification) และวิธีการจัดการข้อมูล (data handling) ตามชั้นความลับให้ครอบคลุมตลอดวงจรชีวิตของข้อมูล (data life cycle) ตั้งแต่การสร้างหรือการได้มาซึ่งข้อมูล การประมวลผล การจัดเก็บ การใช้งาน ไปจนถึงการทำลายข้อมูล รวมทั้งระบุชั้นความลับของข้อมูลอย่างชัดเจน</t>
  </si>
  <si>
    <t xml:space="preserve">1. สัมภาษณ์ ผู้บริหารด้าน IT  เกี่ยวกับ การจัดระดับชั้นความลับของข้อมูล (data classification) และวิธีการจัดการข้อมูล (data handling) ตามชั้นความลับให้สอดคล้องตามความต้องการด้านความมั่นคงปลอดภัยสารสนเทศขององค์กรโดยครอบคลุมตลอดวงจรชีวิตของข้อมูล (data life cycle) ตั้งแต่การสร้างหรือการได้มาซึ่งข้อมูล การประมวลผล การจัดเก็บ การใช้งาน ไปจนถึงการทำลายข้อมูล
2. สอบทาน "นโยบาย หรือ ขั้นตอนการปฏิบัติงานเกี่ยวกับการรักษาความมั่นคงปลอดภัยของข้อมูล” เพื่อให้มั่นใจว่า นโยบายหรือขั้นตอนครอบคลุมเนื้อหาเกี่ยวกับ
    (1) การจัดระดับชั้นความลับของข้อมูล (data classification)
    (2) วิธีการจัดการข้อมูล (data handling) ตามชั้นความลับให้ครอบคลุมตลอดวงจรชีวิตของข้อมูล (data life cycle) ตั้งแต่การสร้างหรือการได้มาซึ่งข้อมูล การประมวลผล การจัดเก็บ การใช้งาน ไปจนถึงการทำลายข้อมูล รวมทั้งระบุชั้นความลับของข้อมูลอย่างชัดเจน เพื่อป้องกันการสูญหาย การทำลาย การปลอมแปลง การเข้าถึง และการเผยแพร่ข้อมูลออกไปโดยไม่ได้รับอนุญาต
3. สอบทาน "ทะเบียนข้อมูล (data inventory)" เพื่อให้มั่นใจว่ามีการระบุชั้นความลับของข้อมูลอย่างชัดเจน ครบถ้วน
(M4) 4. สอบทาน "หลักฐานการทบทวนมาตรการการจัดระดับชั้นความลับของข้อมูล (data classification)" เพื่อให้มั่นใจว่าการจัดระดับชั้นความลับสำหรับข้อมูลและมาตรการควบคุมด้านความปลอดภัยของข้อมูลได้รับการทบทวนและปรับปรุงให้เป็นปัจจุบันอย่างสม่ำเสมอ
(M5) 5. สอบทาน "หลักฐานการใช้เครื่องมืออัตโนมัติในการจัดการการดำเนินการควบคุมข้อมูลอย่างเหมาะสมตามระดับความลับของข้อมูล" เพื่อให้มั่นใจว่ามีการใช้เครื่องมือ เช่น data governance tools ในการควบคุมการจัดชั้นความลับของข้อมูล (data classification) และการระบุชั้นความลับของข้อมูล </t>
  </si>
  <si>
    <t>ไม่มีการจัดชั้นความลับของข้อมูล (data classification) และแนวทางการรักษาความปลอดภัยของข้อมูลที่สอดคล้องตามชั้นความลับ</t>
  </si>
  <si>
    <t>มีการจัดชั้นความลับของข้อมูล (data classification) แต่ระบุชั้นความลับของข้อมูลไม่ครบถ้วน (data labeling) และแนวทางการรักษาความปลอดภัยของข้อมูลที่สอดคล้องตามชั้นความลับไม่ครอบคลุมข้อมูลทุกประเภท หรือไม่ครอบคลุมตลอดวงจรชีวิตของข้อมูล (data life cycle)</t>
  </si>
  <si>
    <t>ผู้ประกอบธุรกิจมีการจัดชั้นความลับของข้อมูล (data classification) มีการระบุชั้นความลับ (data labeling) และแนวทางการรักษาความปลอดภัยของข้อมูลที่สอดคล้องตามชั้นความลับ ครอบคลุมประเภทข้อมูลทุกประเภท และตลอดวงจรชีวิตของข้อมูล (data life cycle)</t>
  </si>
  <si>
    <t>มีการจัดทำตาม Maturity Level 3 รวมถึงมีการสอบทานหลักเกณฑ์การจัดชั้นความลับของข้อมูล (data classfication) และวิธีการจัดการข้อมูล (data handling) อย่างเป็นประจำ</t>
  </si>
  <si>
    <t>มีการจัดทำตาม Maturity Level 4 รวมถึงมีใช้เครื่องมืออัตโนมัติ (automated tools)  ในการควบคุมการจัดชั้นความลับของข้อมูล (data classification) และการระบุชั้นความลับของข้อมูล (labeling)</t>
  </si>
  <si>
    <t>D2.4 #3</t>
  </si>
  <si>
    <t>4.2 #2</t>
  </si>
  <si>
    <t>มีการกำหนดมาตรการรักษาความมั่นคงปลอดภัยของข้อมูล ที่สอดคล้องตามชั้นความลับ ครอบคลุม
    (1) ข้อมูลที่อยู่บนอุปกรณ์ที่ใช้ปฏิบัติงาน (data at endpoint)
    (2) ข้อมูลที่อยู่ระหว่างการรับส่งผ่านเครือข่าย (data in transit)
    (3) ข้อมูลที่อยู่บนระบบงานและสื่อบันทึกข้อมูล (data at rest)</t>
  </si>
  <si>
    <t>1. สัมภาษณ์ ผู้บริหารด้าน IT  เกี่ยวกับการกำหนดมาตรการรักษาความมั่นคงปลอดภัยของข้อมูล ตลอดจนความเป็นส่วนตัวเป็นไปตามกรอบหลักการที่สำคัญ 3 ประการ คือ การธำรงไว้ซึ่งความลับ (confidentiality) ความถูกต้องครบถ้วน (integrity) และสภาพพร้อมใช้งาน (availability) ที่สอดคล้องตามชั้นความลับ
2. สอบทาน "นโยบาย หรือ ขั้นตอนการปฏิบัติงานเกี่ยวกับการรักษาความมั่นคงปลอดภัยของข้อมูล” เพื่อให้มั่นใจว่า มาตรการรักษาความมั่นคงปลอดภัยของข้อมูล ตลอดจนความเป็นส่วนตัวเป็นไปตามกรอบหลักการที่สำคัญ 3 ประการ ที่สอดคล้องตามชั้นความลับ ครอบคลุม
    (1) ข้อมูลที่อยู่บนอุปกรณ์ที่ใช้ปฏิบัติงาน (data in use /data at endpoint)
    (2) ข้อมูลที่อยู่ระหว่างการรับส่งผ่านเครือข่าย (data in transit/data in motion)
    (3) ข้อมูลที่อยู่บนระบบงานและสื่อบันทึกข้อมูล (data at rest/data on storage)
3. สุ่มสอบทาน "การดำเนินการควบคุมข้อมูลตามลำดับชั้นความลับของข้อมูล" เพื่อให้มั่นใจว่ามีการดำเนินงานอย่างเหมาะสมตามที่กำหนดและสอดคล้องกับระดับชั้นความลับของข้อมูล เช่น มีการเข้ารหัสข้อมูลคำสั่งซื้อที่มีการส่งผ่านในระบบเครือข่ายสาธารณะอย่างปลอดภัย เป็นต้น
(M4) 4. สอบทาน "หลักฐานการทบทวนมาตรการรักษาความมั่นคงปลอดภัยของข้อมูล (Data Security) ที่สอดคล้องตามระดับชั้นความลับ" เพื่อให้มั่นใจว่ามาตรการรักษาความมั่นคงปลอดภัยของข้อมูลได้รับการทบทวนและปรับปรุงให้เป็นปัจจุบันอย่างสม่ำเสมอ
(M5) 5. สอบทาน "หลักฐานการใช้เครื่องมืออัตโนมัติในการจัดการการดำเนินการควบคุมข้อมูลอย่างเหมาะสมตามระดับความลับของข้อมูล" เพื่อให้มั่นใจว่ามีการใช้เครื่องมือ เช่น data governance tools ในการควบคุมการดำเนินการใช้ข้อมูลอย่างเหมาะสมตามที่กำหนดและสอดคล้องกับระดับชั้นความลับของข้อมูล ครอบคลุม ข้อมูลที่อยู่บนอุปกรณ์ที่ใช้ปฏิบัติงาน (data in use /data at endpoint) ข้อมูลที่อยู่ระหว่างการรับส่งผ่านเครือข่าย (data in transit/data in motion) และข้อมูลที่อยู่บนระบบงานและสื่อบันทึกข้อมูล (data at rest/data on storage)</t>
  </si>
  <si>
    <t>ผู้ประกอบธุรกิจไม่มีมาตรการรักษาความมั่นคงปลอดภัยของข้อมูล ตลอดจนความเป็นส่วนตัวที่สอดคล้องตามชั้นความลับ</t>
  </si>
  <si>
    <t>ผู้ประกอบธุรกิจมีมาตรการรักษาความมั่นคงปลอดภัยของข้อมูล ตลอดจนความเป็นส่วนตัวที่สอดคล้องตามชั้นความลับ แต่ไม่ครอบคลุมข้อมูลที่อยู่บนอุปกรณ์ที่ใช้ปฏิบัติงาน หรือข้อมูลที่อยู่ระหว่างการรับส่งผ่านเครือข่าย หรือข้อมูลที่อยู่บนระบบงานและสื่อบันทึกข้อมูล อย่างครบถ้วน</t>
  </si>
  <si>
    <t>ผู้ประกอบธุรกิจมีมาตรการรักษาความมั่นคงปลอดภัยของข้อมูล ตลอดจนความเป็นส่วนตัวที่สอดคล้องตามชั้นความลับ โดยครอบคลุมข้อมูลที่อยู่บนอุปกรณ์ที่ใช้ปฏิบัติงาน ข้อมูลที่อยู่ระหว่างการรับส่งผ่านเครือข่าย และข้อมูลที่อยู่บนระบบงานและสื่อบันทึกข้อมูล</t>
  </si>
  <si>
    <t>มีการจัดทำตาม Maturity Level 3 รวมถึงมีการทบทวนมาตรการรักษาความมั่นคงปลอดภัยของข้อมูล ตลอดจนความเป็นส่วนตัวที่สอดคล้องตามชั้นความลับ เพื่อให้มั่นใจว่ามาตรการรักษาความมั่นคงปลอดภัยของข้อมูลได้รับการทบทวนและปรับปรุงให้เป็นปัจจุบันอย่างสม่ำเสมอ</t>
  </si>
  <si>
    <t>มีการจัดทำตาม Maturity Level 4 รวมถึงมีใช้เครื่องมืออัตโนมัติ (automated tools) ในการจัดการการดำเนินการควบคุมข้อมูลอย่างเหมาะสมตามระดับความลับของข้อมูล ครอบคลุมข้อมูลที่อยู่บนอุปกรณ์ที่ใช้ปฏิบัติงาน ข้อมูลที่อยู่ระหว่างการรับส่งผ่านเครือข่าย และข้อมูลที่อยู่บนระบบงานและสื่อบันทึกข้อมูล</t>
  </si>
  <si>
    <t>D2.4 #4</t>
  </si>
  <si>
    <t>4.2 #3</t>
  </si>
  <si>
    <t>มีการกำหนดมาตรการรักษาความปลอดภัยของข้อมูลที่อยู่บนสื่อบันทึกข้อมูล โดยดำเนินการดังนี้
    (1) คำนึงถึงความเสี่ยงที่สื่อบันทึกข้อมูลอาจเสื่อมสภาพ รวมทั้งวิธีการนำข้อมูลกลับมาใช้งานใหม่ ในกรณีที่จัดเก็บข้อมูลเป็นระยะเวลานาน
    (2) จัดเก็บสื่อบันทึกข้อมูลในพื้นที่ที่มีความมั่นคงปลอดภัย และเป็นไปตามคำแนะนำของผู้ผลิต (ถ้ามี)
    (3) จัดให้มีมาตรการรักษาความปลอดภัยของสื่อบันทึกข้อมูลระหว่างการขนส่ง (physical media transfer)</t>
  </si>
  <si>
    <t>1. สัมภาษณ์ ผู้บริหารด้าน IT  เกี่ยวกับการใช้งานและการรักษาความปลอดภัยของข้อมูลที่อยู่บนสื่อบันทึกข้อมูล
2. สอบทาน "นโยบายฯ ระเบียบวิธีปฏิบัติ หรือขั้นตอนการปฏิบัติงานที่เกี่ยวข้อง" เพื่อให้มั่นใจว่า มีการจัดให้มีการรักษาความปลอดภัยของข้อมูลที่อยู่บนสื่อบันทึกข้อมูล โดยครอบคลุมถึง
    (1) การคำนึงถึงความเสี่ยงที่สื่อบันทึกข้อมูลอาจเสื่อมสภาพ รวมทั้งวิธีการนำข้อมูลกลับมาใช้งานใหม่ ในกรณีที่จัดเก็บข้อมูลเป็นระยะเวลานาน
    (2) จัดเก็บสื่อบันทึกข้อมูลในพื้นที่ที่มีความมั่นคงปลอดภัย และเป็นไปตามคำแนะนำของผู้ผลิต (ถ้ามี)
    (3) จัดให้มีมาตรการรักษาความปลอดภัยของสื่อบันทึกข้อมูลระหว่างการขนส่ง (physical media transfer)
3. สอบทาน “ทะเบียนทรัพย์สินสารสนเทศ” เพื่อให้มั่นใจว่า มีการจัดทำทะเบียนสื่อบันทึกข้อมูลครบถ้วน
4. สังเกตการณ์ สถานที่จัดเก็บสื่อบันทึกข้อมูล เพื่อให้มั่นใจว่า มีการจัดเก็บสื่อบันทึกข้อมูลในสภาพแวดล้อมที่ปลอดภัยและเหมาะสม มีความมั่นคงปลอดภัย และ เป็นไปตามคำแนะนำของผู้ผลิต (ถ้ามี) รวมถึงมีการรักษาความปลอดภัยของข้อมูลที่บรรจุอยู่ในทรัพย์สินที่ถูกส่งออกภายนอกให้เป็นไปตามการควบคุมที่เหมาะสมสำหรับชั้นความลับ หรือ ระดับความสำคัญของข้อมูลตามที่นโยบายกำหนด 
5. สอบทาน “กระบวนการการเคลื่อนย้ายสื่อบันทึกข้อมูล” เพื่อให้มั่นใจว่ามีการเคลื่อนย้ายสื่อบันทึกข้อมูลอย่างปลอดภัย เช่น มีการกำหนดพื้นที่ปลอดภัยสำหรับการตรวจสอบและนำส่งสื่อบันทึกข้อมูลออกจากศูนย์คอมพิวเตอร์ มีการกำหนดให้มีการเข้ารหัสทั้งในระดับข้อมูลและในระดับฮาร์ดดิสก์ที่ใช้ในการเคลื่อนย้าย อุปกรณ์ที่ใช้จัดเก็บสื่อบันทึกข้อมูลระหว่างการเคลื่อนย้ายมีความปลอดภัยและสามาถป้องกันความเสียหายจากการตกกระแทกได้ เป็นต้น</t>
  </si>
  <si>
    <t>D2.4 #5</t>
  </si>
  <si>
    <t>4.3 #1</t>
  </si>
  <si>
    <t xml:space="preserve">มีการกำหนดระเบียบปฏิบัติในการทำลายข้อมูล (data disposal) ซึ่งครอบคลุมหน้าที่ความรับผิดชอบของเจ้าของข้อมูล หน่วยงานที่เกี่ยวข้อง และวิธีการทำลายข้อมูลที่เหมาะสมกับชั้นความลับของข้อมูล </t>
  </si>
  <si>
    <t xml:space="preserve">1. สัมภาษณ์ ผู้บริหารด้าน IT   เกี่ยวกับระเบียบปฏิบัติในการทำลายข้อมูล (data disposal) และวิธีการทำลายข้อมูลตามชั้นความลับของข้อมูล 
2. สอบทาน “มาตรการ หรือ กระบวนการการทำลายข้อมูล และ สื่อบันทึกข้อมูล” เพื่อให้มั่นใจว่ามีเนื้อหาครอบคลุมถึง
    (1) การกำหนดหน้าที่ความรับผิดชอบของหน่วยงานที่เกี่ยวข้องกับการทำลายข้อมูล
    (2) การกำหนดวิธีการทำลายข้อมูลที่สอดคล้องกับระดับชั้นความลับและเหมาะสม เช่น การทำลายข้อมูลด้วยสนามแม่เหล็ก (degauss) สื่อบันทึกข้อมูลประเภทที่เป็นแถบแม่เหล็ก หรือ การทำลายข้อมูลเชิงกายภาพ สำหรับสื่อบันทึกข้อมูลประเภทอื่น ๆ ที่จะไม่ก่อให้เกิดการรั่วไหลของข้อมูล และไม่สามารถกู้คืนได้ เป็นต้น
</t>
  </si>
  <si>
    <t>D2.4 #6</t>
  </si>
  <si>
    <t>4.3 #2</t>
  </si>
  <si>
    <t>มีการกำหนดกระบวนการควบคุมการทำลายข้อมูลที่ครอบคลุมการขออนุมัติจากเจ้าของข้อมูลก่อนดำเนินการการควบคุมและสอบทานการปฏิบัติงาน และการจัดทำทะเบียนการทำลายข้อมูลสำคัญ</t>
  </si>
  <si>
    <t>1. สอบทาน "ทะเบียนการทำลายข้อมูลสำคัญ" เพื่อให้มั่นใจว่ามีการบันทึกการทำลายข้อมูลที่สำคัญครบถ้วน และมีการจัดเก็บหลักฐานการทำลายข้อมูลเพื่ออ้างอิงและตรวจสอบ 
2. สุ่มสอบทานการทำลายข้อมูลสำคัญจาก "ทะเบียนการทำลายข้อมูลสำคัญ" เพื่อให้มั่นใจว่า มีการขออนุมัติการทำลายข้อมูลจากเจ้าของข้อมูลก่อนการดำเนินการ และมีการทำลายข้อมูลอย่างปลอดภัย ตามระดับชั้นความลับ ตามมาตรการที่กำหนดไว้</t>
  </si>
  <si>
    <t>D2.4 #7</t>
  </si>
  <si>
    <t>4.4 #1</t>
  </si>
  <si>
    <t>มีการทำทะเบียนทรัพย์สินด้าน IT ประเภทข้อมูล (data Inventory) ให้ครบถ้วนทุกประเภทข้อมูลและเป็นปัจจุบัน และมีรายละเอียดเพียงพอต่อการปฏิบัติงาน ดังนี้
    (1) เลขทะเบียนข้อมูล
    (2) ชื่อข้อมูลหรือชุดข้อมูล
    (3) รายละเอียดลักษณะและประเภทของข้อมูล
    (4) ระดับชั้นความลับและระดับความสำคัญของข้อมูล
    (5) เจ้าของข้อมูลและผู้ดูแลข้อมูล (data owner)
    (6) สถานที่ หรือเครื่องแม่ข่ายที่จัดเก็บ</t>
  </si>
  <si>
    <t xml:space="preserve">1. สัมภาษณ์ ผู้บริหารด้าน IT  เกี่ยวกับการจัดทำและปรับปรุงทะเบียนข้อมูลให้ครบถ้วนและเป็นปัจจุบัน
2. สอบทาน "ทะเบียนทรัพย์สินด้าน IT ประเภทข้อมูล (data inventory)" เพื่อให้มั่นใจว่ามีการจัดทำทะเบียนทรัพย์สินด้าน IT ประเภทข้อมูล (data inventory) โดยมีตัวอย่างรายละเอียดข้อมูลที่สามารถจัดอยู่ในทะเบียน ดังนี้
    (1) เลขทะเบียนข้อมูล
    (2) ชื่อข้อมูลหรือชุดข้อมูล
    (3) รายละเอียดลักษณะ และประเภทของข้อมูล
    (4) ระดับชั้นความลับและระดับความสำคัญของข้อมูล
    (5) เจ้าของข้อมูลและผู้ดูแลข้อมูล (data owner)
    (6) สถานที่ หรือเครื่องแม่ข่ายที่จัดเก็บ
</t>
  </si>
  <si>
    <t>D2.4 #8</t>
  </si>
  <si>
    <t>4.4 #2</t>
  </si>
  <si>
    <t>มีการปรับปรุงทรัพย์สินด้าน IT ประเภทข้อมูล (data Inventory) ให้ครบถ้วนและเป็นปัจจุบันอย่างสม่ำเสมอ อย่างน้อยปีละ 1 ครั้ง และทุกครั้งที่มีการเปลี่ยนแปลงระบบ IT อย่างมีนัยสำคัญ</t>
  </si>
  <si>
    <t>1. สอบทาน "ผลการสอบทานทะเบียนทรัพย์สินด้าน IT ประเภทข้อมูล (data inventory)" หรือ"ทะเบียนทรัพย์สินด้าน IT ประเภทข้อมูล (data inventory)" เพื่อให้มั่นใจว่าข้อมูลทรัพย์สินด้าน IT ประเภทข้อมูลได้รับการปรับปรุงในทะเบียน รวมทั้งมีการปรับปรุงรายชื่อเจ้าของ และ/หรือ ผู้ดูแลทรัพย์สิน รวมทั้งมั่นใจว่าทะเบียนดังกล่าวมีรายละเอียดครบถ้วนและเป็นปัจจุบัน อย่างน้อยปีละ 1 ครั้ง</t>
  </si>
  <si>
    <t>ส่วนที่ 5  การควบคุมการเข้าถึงข้อมูลและระบบ IT (access control)</t>
  </si>
  <si>
    <t>D2.5 #1</t>
  </si>
  <si>
    <t>5.1 #1</t>
  </si>
  <si>
    <t>มีแนวทางการบริหารจัดการบัญชีผู้ใช้งาน โดยครอบคลุมอย่างน้อย 
    (1) หน่วยงานที่รับผิดชอบในการบริหารจัดการบัญชีผู้ใช้งาน
    (2) ขั้นตอนการสร้างบัญชีผู้ใช้งาน โดยบัญชีผู้ใช้งาน (user ID) ควรระบุตัวตนผู้ใช้งานได้ หลีกเลี่ยงการใช้บัญชีผู้ใช้งานที่มีผู้ใช้งานมากกว่า 1 ราย (shared ID)
    (3) การจำกัดหรือหลีกเลี่ยงการใช้งานบัญชีผู้ใช้งานที่มาพร้อมกับระบบ (default user account)
    (4) การทบทวนบัญชีผู้ใช้งานอย่างน้อยปีละ 1 ครั้ง
    (5) การระงับหรือลบบัญชีผู้ใช้งานเมื่อ (1) ผู้ใช้งานสิ้นสุดสภาพการเป็นพนักงาน และ (2) ไม่มีความจำเป็นต้องใช้งาน</t>
  </si>
  <si>
    <t>1. สัมภาษณ์ ผู้บริหารด้าน IT  เพื่อให้เข้าใจถึงแนวทางการบริหารจัดการบัญชีผู้ใช้งาน ขั้นตอนการทบทวนปรับปรุงสถานะของบัญชีผู้ใช้งาน และการใช้งานบัญชีผู้ใช้งานที่มีผู้ใช้งานมากกว่า 1 ราย (shared ID) หรือบัญชีผู้ใช้งานที่มาพร้อมกับระบบ (default user account)
2. สอบทาน "นโยบายทางด้านความมั่นคงปลอดภัยระบบสารสนเทศ" หรือ "ขั้นตอนและวิธีปฏิบัติที่เกี่ยวข้อง" เพื่อให้มั่นใจว่ามีการจัดทำแนวทางการบริหารจัดการบัญชีผู้ใช้งาน โดยครอบคลุมเนื้อหาขั้นต่ำ ดังนี้
    (1) การกำหนดหน่วยงานที่รับผิดชอบในการบริหารจัดการบัญชีผู้ใช้งานตลอดทั้งวงจรชีวิตของบัญชี
    (2) ขั้นตอนการสร้างบัญชีผู้ใช้งาน โดยบัญชีผู้ใช้งาน (user ID) ควรระบุตัวตนผู้ใช้งานได้ หลีกเลี่ยงการใช้บัญชีผู้ใช้งานที่มีผู้ใช้งานมากกว่า 1 ราย (shared ID)
    (3) การจำกัดหรือหลีกเลี่ยงการใช้งานบัญชีผู้ใช้งานที่มาพร้อมกับระบบ (default user account)
    (4) ขั้นตอนการทบทวนบัญชีผู้ใช้งาน โดยกำหนดให้มีการทบทวนบัญชีผู้ใช้งาน อย่างน้อยปีละ 1 ครั้ง
    (5) ขั้นตอนการระงับหรือลบบัญชีผู้ใช้งานเมื่อ (1) สิ้นสุดสภาพการเป็นพนักงาน และ (2) ไม่มีความจำเป็นต้องใช้งาน 
3. สอบทาน "บัญชีผู้ใช้งานในระบบ IT ที่มีนัยสำคัญ" ครอบคลุมระบบงาน ระบบปฏิบัติการและระบบฐานข้อมูล เพื่อให้มั่นใจว่า 
    (1) บัญชีผู้ใช้งาน (user ID) สามารถระบุตัวตนผู้ใช้งานได้
    (2) ไม่มีการใช้บัญชีผู้ใช้งานที่มีผู้ใช้งานมากกว่า 1 ราย (shared ID)
    (3) ไม่มีการใช้งานบัญชีผู้ใช้งานที่มาพร้อมกับระบบ (default user account)
    (4) มีการระงับหรือลบบัญชีผู้ใช้งานเมื่อ (1) ผู้ใช้งานสิ้นสุดสภาพการเป็นพนักงาน และ (2) ไม่มีความจำเป็นต้องใช้งาน
4. สุ่มสอบทานเอกสารการขออนุมัติการสร้างบัญชีผู้ใช้งานระบบ IT ที่มีนัยสำคัญ เพื่อให้มั่นใจว่า มีการขออนุมัติสิทธิในการเข้าถึงระบบ IT ที่มีนัยสำคัญจากผู้มีอำนาจ
5. สอบทาน หลักฐานการสอบทานบัญชีผู้ใช้งานระบบ IT ที่มีนัยสำคัญ เพื่อให้มั่นใจว่ามีการทบทวนบัญชีผู้ใช้งานอย่างน้อยปีละ 1 ครั้ง
(M4) 6. สอบทาน "หลักฐานของการสอบทานบัญชีผู้ใช้งานระบบ IT ที่มีนัยสำคัญ" โดยบุคคลหรือหน่วยงานที่มีความเป็นอิสระจากหน่วยงานที่ทำหน้าที่ปฏิบัติงานเพื่อให้มั่นใจว่าบริษัทมีการดำเนินการบริหารจัดการบัญชีผู้ใช้งานตามขั้นตอนการปฏิบัติงานอย่างสม่ำเสมอ
(M5) 7. สังเกตการณ์การใช้เครื่องมืออัตโนมัติ (automated tools) ในการสร้าง ยกเลิก หรือทบทวนบัญชีผู้ใช้งาน</t>
  </si>
  <si>
    <t>ไม่มีการจัดทำแนวทางการบริหารจัดการบัญชีผู้ใช้งาน</t>
  </si>
  <si>
    <t>มีการจัดทำแนวทางการบริหารจัดการบัญชีผู้ใช้งาน แต่เนื้อหาไม่ครอบคลุมรายละเอียดตามข้อกำหนดหรือมีการบริหารจัดการบัญชีผู้ใช้งานไม่เหมาะสมตามแนวทางที่กำหนดไว้</t>
  </si>
  <si>
    <t>มีการจัดทำแนวทางการบริหารจัดการบัญชีผู้ใช้งาน และเนื้อหาครอบคลุมรายละเอียดตามข้อกำหนด และ มีการบริหารจัดการบัญชีผู้ใช้งานตามแนวทางที่กำหนดไว้อย่างเหมาะสม</t>
  </si>
  <si>
    <t>มีการจัดทำตาม Maturity Level 3 รวมถึงมีการสอบทานการบริหารจัดการบัญชีผู้ใช้งานโดยบุคคลหรือหน่วยงานที่มีความเป็นอิสระจากหน่วยงานที่ทำหน้าที่ปฏิบัติงาน เพื่อให้มั่นใจว่าบริษัทมีการดำเนินการบริหารจัดการบัญชีผู้ใช้งานตามขั้นตอนการปฏิบัติงานอย่างสม่ำเสมอ</t>
  </si>
  <si>
    <t>มีการจัดทำตาม Maturity Level 4 รวมถึงมีการใช้เครื่องมืออัตโนมัติ (automated tools) ในการบริหารจัดการบัญชีผู้ใช้งาน</t>
  </si>
  <si>
    <t>D2.5 #2</t>
  </si>
  <si>
    <t>5.1 #2</t>
  </si>
  <si>
    <t>มีแนวทางการบริหารจัดการสิทธิการเข้าถึงข้อมูลและระบบ IT ควรครอบคลุมอย่างน้อย ดังนี้
    (1) หน่วยงานที่รับผิดชอบในการบริหารจัดการสิทธิการเข้าถึงข้อมูลและระบบ IT
    (2) ขั้นตอนการขออนุมัติสิทธิในการเข้าถึงข้อมูลและระบบ IT จากผู้มีอำนาจ เช่น เจ้าของระบบ หรือเจ้าของข้อมูล เป็นต้น
    (3) ขั้นตอนการปรับปรุงสิทธิของผู้ใช้งานเมื่อมีการเปลี่ยนแปลงหน้าที่ความรับผิดชอบหรือตำแหน่งงาน
    (4) ขั้นตอนการเพิกถอนสิทธิของผู้ใช้งาน โดยเพิกถอนสิทธิทันทีเมื่อผู้ใช้งานสิ้นสุดสภาพการเป็นพนักงาน และเมื่อไม่มีความจำเป็นต้องใช้งาน
    (5) การแบ่งแยกบทบาทหน้าที่ของบุคคลที่เกี่ยวข้องในการจัดสรรสิทธิ เช่น ผู้ร้องขอ (access request) ผู้มีอำนาจอนุมัติ (access authorization) และผู้ดูแลสิทธิการเข้าถึง (access administration) เป็นต้น เพื่อให้สอดคล้องตามหลักการถ่วงดุล (check and balance) ที่ดี
    (6) กำหนดสิทธิของผู้ใช้งานโดยคำนึงถึงความจำเป็นต้องรู้ (need-to-know) ความจำเป็นต้องใช้งาน  (need-to-use) และหลักการแบ่งแยกหน้าที่ความรับผิดชอบ (segregation of duties)
    (7) จัดทำตารางควบคุมการให้สิทธิ (authorization matrix) ของผู้ใช้งานที่สอดคล้องกับตำแหน่งหน้าที่และความรับผิดชอบ เพื่อใช้เป็นแนวทางการกำหนดสิทธิอย่างถูกต้องเหมาะสม
    (8) ทบทวนสิทธิการเข้าถึงอย่างสม่ำเสมอ อย่างน้อยปีละ 1 ครั้ง โดยกำหนดรอบระยะเวลาในการทบทวนสิทธิให้สอดคล้องกับความเสี่ยงและความสำคัญของสิทธิ</t>
  </si>
  <si>
    <t>1. สัมภาษณ์ ผู้บริหารด้าน IT  เพื่อให้เข้าใจถึงแนวทางการบริหารจัดการสิทธิการเข้าถึงข้อมูลและระบบ IT
2. สอบทาน "นโยบายทางด้านความมั่นคงปลอดภัยระบบสารสนเทศ" หรือ "ขั้นตอนและวิธีปฏิบัติที่เกี่ยวข้อง" เพื่อให้มั่นใจว่ามีการจัดทำแนวทางการบริหารจัดการสิทธิการเข้าถึงข้อมูลและระบบ IT โดยครอบคลุมเนื้อหาอย่างน้อย ดังนี้
  (1)  กำหนดหน่วยงานที่รับผิดชอบในการบริหารจัดการสิทธิการเข้าถึงข้อมูลและระบบ IT
  (2)  ขั้นตอนการขออนุมัติสิทธิในการเข้าถึงข้อมูลและระบบ IT จากผู้มีอำนาจ เช่น เจ้าของระบบ หรือเจ้าของข้อมูล เป็นต้น
  (3) ขั้นตอนการปรับปรุงสิทธิของผู้ใช้งานเมื่อมีการเปลี่ยนแปลงหน้าที่ความรับผิดชอบหรือตำแหน่งงาน
  (4)  ขั้นตอนการเพิกถอนสิทธิของผู้ใช้งาน โดยเพิกถอนสิทธิทันทีเมื่อผู้ใช้งานสิ้นสุดสภาพการเป็นพนักงาน และเมื่อไม่มีความจำเป็นต้องใช้งาน
  (5)  การแบ่งแยกบทบาทหน้าที่ของบุคคลที่เกี่ยวข้องในการจัดสรรสิทธิ เช่น ผู้ร้องขอ (access request) ผู้มีอำนาจอนุมัติ (access authorization) และผู้ดูแลสิทธิการเข้าถึง (access administration) เป็นต้น เพื่อให้สอดคล้องตามหลักการถ่วงดุล (check and balance) ที่ดี  
  (6)  กำหนดสิทธิของผู้ใช้งานโดยคำนึงถึงความจำเป็นต้องรู้ (need-to-know) ความจำเป็นต้องใช้งาน (need-to-use) และหลักการแบ่งแยกหน้าที่ความรับผิดชอบ (segregation of duties)
  (7)  จัดทำตารางควบคุมการให้สิทธิ (authorization matrix) ของผู้ใช้งานที่สอดคล้องกับตำแหน่งหน้าที่และความรับผิดชอบ เพื่อใช้เป็นแนวทางการกำหนดสิทธิอย่างถูกต้องเหมาะสม
  (8)  ทบทวนสิทธิการเข้าถึงอย่างสม่ำเสมอ อย่างน้อยปีละ 1 ครั้ง โดยกำหนดรอบระยะเวลาในการทบทวนสิทธิให้สอดคล้องกับความเสี่ยงและความสำคัญของสิทธิ
3. สอบทาน "ตารางควบคุมการให้สิทธิ (authorization matrix)" ของระบบงานที่สำคัญ เพื่อให้มั่นใจว่า มีการจัดทำตารางควบคุมการให้สิทธิของผู้ใช้งานที่สอดคล้องกับตำแหน่งหน้าที่และความรับผิดชอบ เพื่อใช้เป็นแนวทางการกำหนดสิทธิอย่างถูกต้องเหมาะสม
4. สุ่มสอบทาน "เอกสารการอนุมัติการขอเข้าถึงหรือเปลี่ยนแปลงสิทธิการเข้าถึงข้อมูลและระบบ IT" ของระบบงานที่สำคัญ เพื่อให้มั่นใจว่า การขอเข้าถึงหรือเปลี่ยนแปลงสิทธิการเข้าถึงข้อมูลและระบบ IT ได้รับการอนุมัติจากผู้มีอำนาจอย่างเหมาะสม 
5. สอบทาน "หลักฐานการทบทวนสิทธิการเข้าถึง" เพื่อให้มั่นใจว่ามีการทบทวนสิทธิอย่างน้อยปีละ 1 ครั้ง โดยมีการกำหนดกรอบเวลาที่ชัดเจนและสอดคล้องกับความเสี่ยงและความสำคัญของสิทธิ
(M4) 6. สอบทาน "หลักฐานของการสอบทานการกำหนดสิทธิเข้าถึงข้อมูลและระบบ IT ที่มีนัยสำคัญ" โดยบุคคลหรือหน่วยงานที่มีความเป็นอิสระจากหน่วยงานที่ทำหน้าที่ปฏิบัติงาน เพื่อให้มั่นใจว่ามีการตรวจสอบการกำหนดสิทธิเข้าถึงข้อมูลและระบบ IT ที่มีนัยสำคัญให้เป็นไปตามนโยบายที่บริษัทกำหนดไว้อย่างต่อเนื่อง
(M5) 7. สังเกตการณ์การใช้เครื่องมืออัตโนมัติ (automated tools) ในการมอบหมาย เปลี่ยนแปลง หรือยกเลิกสิทธิ เช่น identity &amp; access management tools role-based access control tools (RBAC tools) เป็นต้น</t>
  </si>
  <si>
    <t>ไม่มีการจัดทำแนวทางการบริหารจัดการสิทธิการเข้าถึงข้อมูลและระบบ IT</t>
  </si>
  <si>
    <t>มีการจัดทำแนวทางการบริหารจัดการสิทธิการเข้าถึงข้อมูลและระบบ IT แต่เนื้อหาไม่ครอบคลุมรายละเอียดตามข้อกำหนด หรือยังมีการบริหารจัดการสิทธิการเข้าถึงข้อมูลและระบบ IT ไม่เหมาะสม</t>
  </si>
  <si>
    <t>มีการจัดทำแนวทางการบริหารจัดการบัญชีผู้ใช้งาน และเนื้อหาครอบคลุมรายละเอียดตามข้อกำหนด และมีการบริหารจัดการสิทธิการเข้าถึงข้อมูลและระบบ IT อย่างเหมาะสม</t>
  </si>
  <si>
    <t xml:space="preserve">มีการจัดทำตาม Maturity Level 3 รวมถึงมีการสอบทานการบริหารจัดการสิทธิการเข้าถึงข้อมูลและระบบ IT โดยบุคคลหรือหน่วยงานที่มีความเป็นอิสระจากหน่วยงานที่ทำหน้าที่ปฏิบัติงาน เพื่อให้มั่นใจว่าบริษัทมีการดำเนินการกำหนดสิทธิเข้าถึงข้อมูลและระบบ IT ที่มีนัยสำคัญ ตามขั้นตอนการปฏิบัติงานอย่างสม่ำเสมอ </t>
  </si>
  <si>
    <t>มีการจัดทำตาม Maturity Level 4 รวมถึงมีการใช้เครื่องมืออัตโนมัติ (automated tools) ในการบริหารจัดการสิทธิการเข้าถึงข้อมูลและระบบ IT</t>
  </si>
  <si>
    <t>D2.5 #3</t>
  </si>
  <si>
    <t>5.2 #1</t>
  </si>
  <si>
    <t>มีกระบวนการยืนยันตัวตนผู้ใช้งาน (authentication) ที่เหมาะสมกับความเสี่ยง และป้องกันการปฏิเสธความรับผิด โดยครอบคลุมอย่างน้อย ดังนี้
    (1) กำหนดวิธีการยืนยันตัวตนผู้ใช้งานที่เหมาะสมกับความเสี่ยง 
    (2) กรณีที่มีการสร้างรหัสผ่านครั้งแรกสำหรับผู้ใช้งาน ให้มีการจัดส่งรหัสผ่านให้แก่ผู้ใช้งานด้วยวิธีการที่รัดกุมและปลอดภัย และให้ผู้ใช้งานเปลี่ยนแปลงรหัสผ่านทันทีที่ได้รับรหัสดังกล่าว
    (3) กำหนดให้ผู้ใช้งานตั้งรหัสผ่านที่ซับซ้อนและยากต่อการคาดเดา โดยมีความยาวขั้นต่ำ 8 อักขระ (8 characters) และประกอบด้วยตัวเลขและตัวอักษร
    (4) กำหนดจำนวนครั้งที่ยอมให้ผู้ใช้งานใส่รหัสผ่านผิดพลาดติดต่อกัน ก่อนระงับการเข้าสู่ระบบชั่วคราวหรือวิธีการอื่น ๆ ที่เทียบเท่า
    (5) กำหนดให้ใช้รหัสผ่านที่ไม่ซ้ำกับรหัสที่เคยใช้งานอย่างน้อย 4 ครั้งล่าสุด หรือไม่ซ้ำกับรหัสผ่านที่เคยใช้งานในช่วง 1 ปีที่ผ่านมา
    (6) กำหนดการตั้งค่าปกติ/ค่าเริ่มต้น (default) ให้ไม่แสดงรหัสผ่านบนหน้าจอ ระหว่างที่ผู้ใช้งานใส่รหัสผ่าน
    (7) มีวิธีจัดเก็บข้อมูลรหัสผ่านที่ปลอดภัย รวมทั้งไม่จัดเก็บข้อมูลรหัสผ่านใน folder เดียวกันกับ folder ที่จัดเก็บข้อมูลของแอปพลิเคชัน
    (8) กำหนดให้ผู้ใช้งานรับผิดชอบการใช้งานบัญชีผู้ใช้งาน (user ID) และการรักษาความปลอดภัยสิ่งที่ใช้ยืนยันตัวตน (authenticator) รวมทั้งข้อมูลส่วนบุคคลที่อาจนำมาใช้เพื่อขอเปลี่ยนแปลงข้อมูลบัญชีผู้ใช้งาน เพื่อป้องกันการใช้งานจากผู้ไม่หวังดี</t>
  </si>
  <si>
    <t>1. สัมภาษณ์ ผู้บริหารด้าน IT  เพื่อให้เข้าใจถึงกระบวนการยืนยันตัวตนผู้ใช้งาน (authentication) 
2. สอบทาน "นโยบายการรักษาความมั่นคงปลอดภัยของระบบสารสนเทศ หรือนโยบายการควบคุมรหัสผ่าน" โดยครอบคลุมอย่างน้อย ดังนี้
   (1) กำหนดวิธีการยืนยันตัวตนผู้ใช้งานที่เหมาะสมกับความเสี่ยง เพื่อควบคุมการเข้าถึงข้อมูล และระบบ IT
   (2) กรณีที่มีการสร้างรหัสผ่านครั้งแรกสำหรับผู้ใช้งาน ให้มีการจัดส่งรหัสผ่านให้แก่ผู้ใช้งานด้วยวิธีการที่รัดกุมและปลอดภัยและให้ผู้ใช้งานเปลี่ยนแปลงรหัสผ่านทันทีที่ได้รับรหัสดังกล่าว
   (3) กำหนดให้ผู้ใช้งานตั้งรหัสผ่านที่ซับซ้อนและยากต่อการคาดเดา โดยมีความยาวขั้นต่ำอย่างน้อย 8 อักขระ (8 characters) และประกอบด้วยตัวเลขและตัวอักษร โดยอาจพิจารณาเพิ่มเติมความซับซ้อน เช่น กำหนดให้รหัสผ่านประกอบด้วยอักขระพิเศษ (เช่น “#”) เพิ่มเติม เป็นต้น
   (4) กำหนดจำนวนครั้งที่ยอมให้ผู้ใช้งานใส่รหัสผ่านผิดพลาดติดต่อกัน ก่อนระงับการเข้าสู่ระบบชั่วคราวหรือวิธีการอื่น ๆ ที่เทียบเท่า เพื่อป้องกันการเข้าใช้งานโดยวิธีเดาสุ่ม (brute force) ทั้งนี้ ในทางปฏิบัติไม่ควรยอมให้ผู้ใช้งานยืนยันตัวตนผิดพลาดติดต่อกันเกิน 10 ครั้ง
   (5) กำหนดให้ใช้รหัสผ่านที่ไม่ซ้ำกับรหัสที่เคยใช้งานอย่างน้อย 4 ครั้งล่าสุด หรือไม่ซ้ำกับรหัสผ่านที่เคยใช้งานในช่วง 1 ปีที่ผ่านมา
   (6) กำหนดการตั้งค่าปกติ/ค่าเริ่มต้น (default) ให้ไม่แสดงรหัสผ่านบนหน้าจอ ระหว่างที่ผู้ใช้งานใส่รหัสผ่าน
   (7) มีวิธีจัดเก็บข้อมูลรหัสผ่านที่ปลอดภัย เพื่อป้องกันการล่วงรู้หรือแก้ไขเปลี่ยนแปลง รวมทั้งไม่จัดเก็บข้อมูลรหัสผ่านใน folder เดียวกันกับ folder ที่จัดเก็บข้อมูลของแอปพลิเคชัน
   (8) กำหนดให้ผู้ใช้งานรับผิดชอบการใช้งานบัญชีผู้ใช้งาน (user ID) และการรักษาความปลอดภัยสิ่งที่ใช้ยืนยันตัวตน (authenticator) เช่น รหัสผ่าน รหัสที่ใช้ครั้งเดียว (one-time password) เป็นต้น รวมทั้งข้อมูลส่วนบุคคลที่อาจนำมาใช้เพื่อขอเปลี่ยนแปลงข้อมูลบัญชีผู้ใช้งาน เพื่อป้องกันการใช้งานจากผู้ไม่หวังดี
3. สอบทาน "การตั้งค่านโยบายรหัสผ่านของระบบ IT ที่มีนัยสำคัญ" เปรียบเทียบกับ "นโยบายการควบคุมรหัสผ่าน" หรือ "ข้อกำหนดในประกาศฯ" เพื่อให้มั่นใจว่ามีการตั้งค่ารหัสผ่านของระบบงานที่สำคัญเป็นไปตามนโยบายที่บริษัทกำหนดไว้ 
(M4) 4. สอบทาน หลักฐานของการสอบทานการตั้งค่านโยบายรหัสผ่านของระบบ IT ที่มีนัยสำคัญ" โดยบุคคลหรือหน่วยงานที่มีความเป็นอิสระจากหน่วยงานที่ทำหน้าที่ปฏิบัติงาน เพื่อให้มั่นใจว่ามีการตรวจสอบการตั้งค่ารหัสผ่านของระบบ IT ที่มีนัยสำคัญให้เป็นไปตามนโยบายที่บริษัทกำหนดไว้อย่างต่อเนื่อง
(M5) 5.สังเกตการณ์ หรือสอบทาน กรณีที่บริษัทใช้วิธีการยืนยันตัวตนด้วยการใช้งานพิสูจน์ตัวตนหลายปัจจัย (multi-factor authentication : MFA )โดยมีการตั้งค่าที่เหมาะสม สำหรับเข้าถึงทุกระบบงานที่มีความสำคัญ</t>
  </si>
  <si>
    <t>ไม่มีการกำหนดนโยบายการควบคุมรหัสผ่าน หรือมีการกำหนดนโยบายการควบคุมรหัสผ่านแต่เนื้อหาไม่ครอบคลุมตามข้อกำหนด</t>
  </si>
  <si>
    <t>มีนโยบายการควบคุมรหัสผ่านที่มีเนื้อหาครอบคลุมตามข้อกำหนด แต่มีการตั้งค่ารหัสผ่านระบบ IT ที่มีนัยสำคัญไม่สอดคล้องตามนโยบายที่บริษัทกำหนดไว้</t>
  </si>
  <si>
    <t xml:space="preserve">มีนโยบายการควบคุมรหัสผ่านที่มีเนื้อหาครอบคลุมตามข้อกำหนดและมีการตั้งค่ารหัสผ่านระบบ IT ที่มีนัยสำคัญสอดคล้องกับนโยบาย
ในกรณีที่ไม่สามารถตั้งค่ารหัสผ่านให้สอดคล้องกับนโยบายฯ ได้ บริษัทจัดให้มีการประเมินความเสี่ยงและจัดทำการอนุมัติการขอยกเว้นการตั้งค่า โดยมีการพิจารณาและกำหนดการควบคุมทดแทนที่เหมาะสมและมีการสอบทานข้อยกเว้นดังกล่าวอย่างน้อยปีละ 1 ครั้ง
</t>
  </si>
  <si>
    <t>มีการจัดทำตาม Maturity Level 3 รวมถึงมีการสอบทานการตั้งค่ารหัสผ่านระบบ IT ที่มีนัยสำคัญ โดยบุคคลหรือหน่วยงานที่มีความเป็นอิสระจากหน่วยงานที่ทำหน้าที่ปฏิบัติงาน เพื่อให้มั่นใจว่ามีการตรวจสอบการตั้งค่ารหัสผ่านของระบบ IT ที่มีนัยสำคัญให้เป็นไปตามนโยบายที่บริษัทกำหนดไว้อย่างต่อเนื่อง</t>
  </si>
  <si>
    <t>มีการจัดทำตาม Maturity Level 4 รวมถึงมีการนำวิธีการยืนยันตัวตนด้วยวิธีการพิสูจน์ตัวตนหลายปัจจัย (multi-factor authentication : MFA) สำหรับทุกระบบงานที่มีความสำคัญ</t>
  </si>
  <si>
    <t>D2.5 #4</t>
  </si>
  <si>
    <t>5.2 #2</t>
  </si>
  <si>
    <t>มีระบบอัตโนมัติในการตรวจสอบและแจ้งเตือนพฤติกรรมการยืนยันตัวตนที่ผิดปกติหรือ ต้องสงสัย เช่น การเข้าสู่ระบบจากเครื่องคอมพิวเตอร์ต้นทางพร้อมกันหลายเครื่อง หรือการเข้าสู่ระบบจากเครื่องคอมพิวเตอร์ต้นทางที่มีความแตกต่างกันด้านสถานที่ทางภูมิศาสตร์ภายในระยะเวลาอันสั้น เป็นต้น</t>
  </si>
  <si>
    <t>1. สอบทาน "การติดตั้งระบบอัตโนมัติในการตรวจสอบและแจ้งเตือนพฤติกรรมการยืนยันตัวตนที่ผิดปกติหรือ ต้องสงสัย" เช่น การเข้าสู่ระบบจากเครื่องคอมพิวเตอร์ต้นทางพร้อมกันหลายเครื่อง หรือการเข้าสู่ระบบจากเครื่องคอมพิวเตอร์ต้นทางที่มีความแตกต่างกันด้านสถานที่ทางภูมิศาสตร์ภายในระยะเวลาอันสั้น เป็นต้น รวมทั้งมีการดำเนินการประเมินความเป็นไปได้ในการเกิดเหตุการณ์ด้านความมั่นคงปลอดภัยสารสนเทศ</t>
  </si>
  <si>
    <t>D2.5 #5</t>
  </si>
  <si>
    <t>มีการกำหนดมาตรการควบคุม จำกัด และติดตามการใช้งานบัญชีผู้มีสิทธิสูง (privileged user management) ดังนี้
    (1) มีการพิสูจน์ตัวตนหลายปัจจัย (multi-factor authentication : MFA) เมื่อเข้าใช้งานและเปลี่ยนรหัสผ่านสำหรับระบบปฏิบัติการและระบบฐานข้อมูลที่เกี่ยวข้องกับระบบ IT ที่มีนัยสำคัญ
    (2) กรณีผู้ประกอบธุรกิจมีข้อจำกัดสำหรับการพิสูจน์ตัวตนหลายปัจจัย (multi-factor authentication : MFA) สามารถใช้วิธีการอื่นใดที่เทียบเท่าทดแทน และจัดให้มีการประเมินความเสี่ยงและพิจารณาแนวทางควบคุมความเสี่ยงก่อนดำเนินการเพื่อขออนุมัติยกเว้น (exception)</t>
  </si>
  <si>
    <t xml:space="preserve">1. สัมภาษณ์ ผู้บริหารด้าน IT เพื่อให้เข้าใจถึงมาตรการการใช้การบังคับพิสูจน์ตัวตนอย่างปลอดภัยสำหรับบัญชีผู้มีสิทธิสูง (privileged user) ด้วยการใช้งานพิสูจน์ตัวตนหลายปัจจัย (multi-factor authentication) เมื่อเข้าใช้งานและเปลี่ยนรหัสผ่านสำหรับระบบปฏิบัติการและระบบฐานข้อมูลที่เกี่ยวข้องกับระบบ IT ที่มีนัยสำคัญ หรือมาตรการทดแทนหากมีข้อจำกัดสำหรับการพิสูจน์ตัวตนหลายปัจจัย (multi-factor authentication : MFA)
2. สอบทาน "นโยบายการรักษาความมั่นคงปลอดภัยของระบบสารสนเทศ" เพื่อให้มั่นใจว่ามีการกำหนดให้มีการพิสูจน์ตัวตนแบบ MFA หรือวิธีการอื่นใดที่เทียบเท่าทดแทนสำหรับบัญชีผู้มีสิทธิสูง (privileged user) เมื่อเข้าใช้งานและเปลี่ยนรหัสผ่านสำหรับระบบปฏิบัติการและระบบฐานข้อมูลที่เกี่ยวข้องกับระบบ IT ที่มีนัยสำคัญ
3. สังเกตการณ์ "ขั้นตอนการพิสูจน์ตัวตนก่อนการเข้าถึงข้อมูลของบัญชีผู้มีสิทธิสูง (privileged user)" เพื่อให้มั่นใจว่ามีการบังคับพิสูจน์ตัวตนอย่างปลอดภัยด้วยการใช้งานพิสูจน์ตัวตนหลายปัจจัย (multi-factor authentication : MFA) หรือวิธีการอื่นใดที่เทียบเท่าทดแทน ทุกครั้งเมื่อเข้าใช้งานและเปลี่ยนรหัสผ่านสำหรับระบบปฏิบัติการและระบบฐานข้อมูลที่เกี่ยวข้องกับระบบ IT ที่มีนัยสำคัญ
</t>
  </si>
  <si>
    <t>D2.5 #6</t>
  </si>
  <si>
    <t>5.3.3-5.3.2</t>
  </si>
  <si>
    <t>5.3.3-5.3.2 #1</t>
  </si>
  <si>
    <t>มีการควบคุมและติดตามตรวจสอบการใช้งานบัญชีผู้มีสิทธิสูง (privileged user) อย่างเข้มงวด ดังนี้  
    (1) ควบคุมดูแลการให้สิทธิโดยจำกัดตามบทบาทหน้าที่ และความจำเป็นในการใช้งาน
    (2) จำกัดจำนวนบัญชี privileged user ให้มีจำนวนน้อยที่สุดหรือเท่าที่จำเป็น
    (3) มีกระบวนการขอใช้งานบัญชี privileged user และการอนุมัติโดยผู้มีอำนาจ 
    (4) ทบทวนบัญชีผู้ใช้งาน privileged user อย่างสม่ำเสมออย่างน้อยปีละ 1 ครั้ง
    (5) กำหนดนโยบายหรือมาตรการยืนยันตัวตนของบัญชี privileged user ที่เข้มงวดกว่าบัญชีผู้ใช้งานทั่วไป 
    (6) จัดเก็บบันทึกการเข้าถึง (access log) และบันทึกการดำเนินงาน (activity log) ของบัญชี privileged user อย่างเหมาะสม
    (7) สอบทานบันทึกการเข้าถึง (access log) และบันทึกการดำเนินงาน (activity log) ของบัญชี privileged user หลังเสร็จสิ้นการใช้งาน หรือสอบทานอย่างสม่ำเสมอตามรอบระยะเวลาที่เหมาะสมกับความเสี่ยง โดยควรสอบทานอย่างน้อยปีละ 1 ครั้ง
    (8) มีเครื่องมือหรือกระบวนการป้องกันการเข้าใช้งานบัญชี privileged user และยกระดับสิทธิการใช้งานโดยผู้ที่ไม่ได้รับอนุญาต</t>
  </si>
  <si>
    <r>
      <t>1. สัมภาษณ์ ผู้บริหารด้าน IT  เพื่อให้เข้าใจถึงมาตรการควบคุม จำกัด และติดตามการใช้งานบัญชีผู้มีสิทธิสูง (privileged user management)
2. สอบทาน "นโยบายการรักษาความมั่นคงปลอดภัยของระบบสารสนเทศ" และแนวปฏิบัติที่เกี่ยวข้อง เพื่อให้มั่นใจว่า กระบวนการที่จำเป็น</t>
    </r>
    <r>
      <rPr>
        <strike/>
        <sz val="10"/>
        <rFont val="Tahoma"/>
        <family val="2"/>
        <scheme val="major"/>
      </rPr>
      <t>ใน</t>
    </r>
    <r>
      <rPr>
        <sz val="10"/>
        <rFont val="Tahoma"/>
        <family val="2"/>
        <scheme val="major"/>
      </rPr>
      <t>มีการควบคุมและติดตามการใช้</t>
    </r>
    <r>
      <rPr>
        <strike/>
        <sz val="10"/>
        <rFont val="Tahoma"/>
        <family val="2"/>
        <scheme val="major"/>
      </rPr>
      <t>บ</t>
    </r>
    <r>
      <rPr>
        <sz val="10"/>
        <rFont val="Tahoma"/>
        <family val="2"/>
        <scheme val="major"/>
      </rPr>
      <t xml:space="preserve"> บัญชีผู้มีสิทธิสูง (privileged user) ดังนี้
   (1) ควบคุมดูแลการให้สิทธิโดยจำกัดตามบทบาทหน้าที่ และความจำเป็นในการใช้งาน
   (2) จำกัดจำนวนบัญชีผู้มีสิทธิสูง ให้มีจำนวนน้อยที่สุดหรือเท่าที่จำเป็น
   (3) มีกระบวนการขอใช้งานบัญชีผู้มีสิทธิสูง และการอนุมัติโดยผู้มีอำนาจ
   (4) ทบทวนบัญชีผู้ใช้งานผู้มีสิทธิสูงอย่างสม่ำเสมออย่างน้อยปีละ 1 ครั้ง
   (5) กำหนดนโยบายหรือมาตรการยืนยันตัวตนของบัญชีผู้มีสิทธิสูงที่เข้มงวดกว่าบัญชีผู้ใช้งานทั่วไป
   (6) จัดเก็บประวัติการยืนยันตัวตนและการเข้าถึง (access log) และบันทึกการดำเนินงาน (activity log) ของบัญชีผู้มีสิทธิสูงอย่างเหมาะสม
   (7) สอบทานประวัติการยืนยันตัวตนและการเข้าถึง (access log) และบันทึกการดำเนินงาน (activity log) ของบัญชีผู้มีสิทธิสูง หลังเสร็จสิ้นการใช้งาน หรือสอบทานอย่างสม่ำเสมอตามรอบระยะเวลาที่เหมาะสมกับความเสี่ยง โดยควรสอบทานอย่างน้อยปีละ 1 ครั้ง เพื่อให้มั่นใจได้ว่าการใช้งานสิทธิเป็นไปอย่างเหมาะสม
   (8) มีเครื่องมือหรือกระบวนการป้องกันการเข้าใช้งานบัญชีผู้มีสิทธิสูง และยกระดับสิทธิการใช้งานโดยผู้ที่ไม่ได้รับอนุญาต เช่น การใช้เครื่องมือบริหารจัดการบัญชีผู้มีสิทธิสูง (privilege access management : PAM) และการใช้ระบบติดตามแจ้งเตือนเมื่อมีการใช้งานสิทธิระดับสูง เป็นต้น
3. สอบทานกระบวนการจัดเก็บและขอใช้รหัสผ่านบัญชีผู้มีสิทธิสูง เพื่อให้มั่นใจว่ามีกระบวนการป้องกันการเข้าใช้งานบัญชีดังกล่าว อย่างเหมาะสม
4. สุ่มสอบทาน "ใบคำขอใช้งานบัญชีผู้มีสิทธิสูง" เทียบกับ "ประวัติการใช้งานบัญชีผู้มีสิทธิสูง เช่น sulog หรือ "ประวัติการยืนยันตัวตน" เพื่อให้มั่นใจว่าการใช้งานบัญชีผู้มีสิทธิสูงได้รับการอนุมัติจากผู้มีอำนาจอย่างเหมาะสม
5. สังเกตการณ์ "กระบวนการยืนยันตัวตนของบัญชีผู้มีสิทธิสูง" เพื่อให้มั่นใจว่า มีความเข้มงวดกว่าบัญชีผู้ใช้งานทั่วไป 
6. สอบทาน "กระบวนการป้องกันการเข้าใช้งานบัญชีผู้มีสิทธิสูง และยกระดับสิทธิการใช้งานโดยผู้ที่ไม่ได้รับอนุญาต" เช่น การใช้เครื่องมือบริหารจัดการบัญชีผู้มีสิทธิสูง privileged user (privilege access management : PAM) และการใช้ ระบบติดตามแจ้งเตือนเมื่อมีการใช้งานสิทธิระดับสูง เป็นต้น</t>
    </r>
  </si>
  <si>
    <t>ส่วนที่ 6 การควบคุมการเข้ารหัส (cryptographic control)</t>
  </si>
  <si>
    <t>D2.6 #1</t>
  </si>
  <si>
    <t>6.1 #1</t>
  </si>
  <si>
    <t xml:space="preserve">1. มีการจัดทำ อนุมัติ และสื่อสารนโยบายและมาตรการการบริหารกุญแจเข้ารหัส ที่มีเนื้อหาที่คำนึงถึงชนิด มาตรฐานวิธีการเข้ารหัสข้อมูล (cryptographic algorithm) ให้เป็นไปตามมาตรฐานสากล และมีความมั่นคงปลอดภัยเหมาะสมกับระดับความสำคัญของข้อมูล รวมทั้งกำหนดผู้รับผิดชอบในการดำเนินนโยบายและบริหารจัดการกุญแจเพื่อการเข้ารหัสข้อมูล (key management)
2. มีการวิเคราะห์และคัดเลือกวิธีการเข้ารหัสที่เหมาะสมสำหรับข้อมูล
แต่ละประเภทตามมาตรการเข้ารหัสของข้อมูลแต่ละระดับชั้น เช่น
    (1) เว็บไซต์: การใช้โปรโตคอล TLS ในการเข้ารหัสมีความปลอดภัยมากกว่าโปรโตคอล SSL
    (2) การส่งข้อมูลผ่านเครือข่าย: การใช้โปรโตคอล CFI, SCP, SFTP, หรือ  FTPS ในการส่งข้อมูลมีความปลอดภัยมากกว่าโปรโตคอล FTP
    (3) การเชื่อมต่อโดย Remote Command: การใช้โปรโตคอล SSH มีความปลอดภัยมากกว่าโปรโตคอล Telnet 
    (4) การเชื่อมต่อเพื่อบริหารจัดการระบบจากระยะไกล: การเชื่อมต่อผ่านช่องทางที่ปลอดภัยอย่าง SSL VPN, IPSec VPN หรือเครื่องมือที่มีการใช้ช่องทางที่ปลอดภัย </t>
  </si>
  <si>
    <t>1. สัมภาษณ์ ผู้บริหารด้าน IT เพื่อให้เข้าใจถึงกระบวนการบริหารจัดการกุญแจเข้ารหัสข้อมูล ดังนี้
    (1) การกำหนดหน่วยงานหรือบุคลากรที่รับผิดชอบการบริหารจัดการกุญแจเข้ารหัสข้อมูล
    (2) การเลือกใช้ชนิดและขั้นตอนวิธีการเข้ารหัสข้อมูล (algorithm และ cipher suite) ที่สอดคล้องเหมาะสมกับระดับความเสี่ยงที่อาจเกิดขึ้นกับข้อมูลที่เป็นความลับหรือมีความสำคัญ
    (3) มีการสื่อสารและสร้างการรับรู้นโยบายและมาตรการการบริหารกุญแจเข้ารหัส ให้แก่บุคลากรที่เกี่ยวข้อง
2. สอบทาน “นโยบายทางด้านความมั่นคงปลอดภัยระบบสารสนเทศ” เพื่อให้มั่นใจว่ามีการจัดทำนโยบายที่เกี่ยวข้องกับการเข้ารหัสข้อมูลและการบริหารกุญแจเข้ารหัสข้อมูล และมั่นใจว่ามีการทบทวนนโยบายอย่างสม่ำเสมอหรือเมื่อมีการเปลี่ยนแปลงอย่างมีนัยสำคัญ โดยครอบคลุมเนื้อหาขั้นต่ำ ดังนี้
    (1) การเข้ารหัสข้อมูลควรมีเนื้อหาที่คำนึงถึงประเภทของข้อมูล และขั้นตอนวิธีการเข้ารหัสข้อมูล (algorithm) ที่สอดคล้องเหมาะสมกับระดับความเสี่ยงที่อาจเกิดขึ้นกับข้อมูลที่เป็นความลับหรือมีความสำคัญ 
    (2) กำหนดผู้รับผิดชอบในการดำเนินนโยบายและบริหารจัดการกุญแจเพื่อการเข้ารหัสข้อมูล (key management)
    (3) การบริหารกุญแจตลอดช่วงเวลาการใช้งาน (key management whole life cycle)
3. สอบทาน “แนวปฏิบัติการเข้ารหัสข้อมูลและการบริหารกุญแจเข้ารหัสข้อมูล” เพื่อให้มั่นใจว่ามีจัดทำมาตรการ/แนวปฏิบัติครอบคลุม
    (1) การคัดเลือกวิธีการเข้ารหัส 
    (2) การกำหนดความยาวของรหัส 
    (3) การใช้งานและการยกเลิกการใช้งานกุญแจเพื่อการเข้ารหัส 
    (4) กระบวนการบริหารจัดการกุญแจเพื่อการเข้ารหัส 
    (5) การติดตามให้มีการปฏิบัติให้เป็นไปตามนโยบายและแนวทางปฏิบัติอย่างสม่ำเสมอ</t>
  </si>
  <si>
    <t>D2.6 #2</t>
  </si>
  <si>
    <t xml:space="preserve">มีการทบทวนมาตรฐานวิธีเข้ารหัสข้อมูล (cryptographic algorithm) เพื่อให้มั่นใจว่าวิธีการเข้ารหัสที่ใช้งานยังคงมีความปลอดภัย 
</t>
  </si>
  <si>
    <t>1. สัมภาษณ์ ผู้บริหารด้าน IT เกี่ยวกับกระบวนการในการติดตามการเปลี่ยนแปลงของ IT และมาตรฐานวิธีเข้ารหัสข้อมูล (cryptographic algorithm) 
2. สอบทาน “ผลการทบทวนมาตรฐานวิธีการเข้ารหัสข้อมูล” เพื่อให้มั่นใจได้ว่าวิธีการเข้ารหัสข้อมูลที่ใช้งานอยู่ ยังมีความมั่นคงเพียงพอในการรักษาความปลอดภัยของข้อมูล</t>
  </si>
  <si>
    <t>D2.6 #3</t>
  </si>
  <si>
    <t>6.2 #1</t>
  </si>
  <si>
    <t xml:space="preserve">มีการสร้างและติดตั้งกุญแจเข้ารหัสที่มีความปลอดภัย โดยครอบคลุมอย่างน้อย ดังนี้
    (1) การเลือกใช้ผู้ให้บริการออกใบรับรอง (certification authority) ที่น่าเชื่อถือ 
    (2) การทำลายข้อมูลที่ใช้ในกระบวนการเข้ารหัส หรือการรักษาความปลอดภัยของคอมพิวเตอร์ที่ใช้สร้างกุญแจ
    (3) กำหนดสิทธิการเข้าถึงกุญแจเข้ารหัสและระบบจัดการกุญแจเข้ารหัสให้สามารถเข้าถึงได้โดยผู้ที่ได้รับอนุญาตเท่านั้น
    (4) กำหนดความยาวของกุญแจเข้ารหัสที่เพียงพอในการป้องกันการถูกถอดรหัส (decrypt) โดยผู้ไม่หวังดี เช่น การโจมตีแบบ brute force เป็นต้น
    (5) การแลกเปลี่ยนกุญแจเข้ารหัส (key exchange) ผ่านกระบวนการและช่องทางที่ปลอดภัย 
    (6) การกำหนดไม่ให้ใช้กุญแจเข้ารหัสข้อมูลเดียวกันกับหลายระบบงาน
</t>
  </si>
  <si>
    <t>1. สัมภาษณ์ ผู้บริหารด้าน IT เกี่ยวกับกระบวนการ/ขั้นตอนการสร้างและติดตั้งกุญแจเข้ารหัส
2 .สอบทาน “ขั้นตอนการสร้างและติดตั้งกุญแจเข้ารหัส” เพื่อให้มั่นใจว่ามีความครอบคลุมอย่างน้อย ดังนี้
    (1) การเลือกใช้ผู้ให้บริการออกใบรับรอง (certification authority) ที่น่าเชื่อถือ 
    (2) การทำลายข้อมูลที่ใช้ในกระบวนการเข้ารหัส หรือการรักษาความปลอดภัยของคอมพิวเตอร์ที่ใช้สร้างกุญแจ
    (3) กำหนดสิทธิการเข้าถึงกุญแจเข้ารหัสและระบบจัดการกุญแจเข้ารหัสให้สามารถเข้าถึงได้โดยผู้ที่ได้รับอนุญาตเท่านั้น
    (4) กำหนดความยาวของกุญแจเข้ารหัสที่เพียงพอในการป้องกันการถูกถอดรหัส (decrypt) โดยผู้ไม่หวังดี เช่น การโจมตีแบบ brute force เป็นต้น
    (5) การแลกเปลี่ยนกุญแจเข้ารหัส (key exchange) ผ่านกระบวนการและช่องทางที่ปลอดภัย 
    (6) การกำหนดไม่ให้ใช้กุญแจเข้ารหัสข้อมูลเดียวกันกับหลายระบบงาน
3. สอบทานใบรับรอง (certificate) ในระบบที่เกี่ยวข้อง เพื่อให้มั่นใจได้ว่าผู้ให้บริการออกใบรับรอง (Certification Authority) มีความน่าเชื่อถือ
4. สอบทานกระบวนการและช่องทางการแลกเปลี่ยนกุญแจ เพื่อให้มั่นใจได้ว่ากุญแจถูกแลกเปลี่ยนโดยช่องทางที่ปลอดภัย</t>
  </si>
  <si>
    <t>D2.6 #4</t>
  </si>
  <si>
    <t>6.2 #2</t>
  </si>
  <si>
    <t xml:space="preserve">มีการจัดเก็บและสำรองกุญแจเข้ารหัสให้อยู่ในสภาพแวดล้อมที่ปลอดภัย และมีการกำหนดการเข้าถึงทั้งทางกายภาพ (physical) และสิทธิในระบบ (logical) อย่างเหมาะสม โดยผู้ประกอบธุรกิจควรดำเนินการอย่างน้อย ดังนี้ 
    (1) มีการรักษาความปลอดภัยในการจัดเก็บกุญแจเข้ารหัสทั้งด้าน physical และ logical เช่น การใช้อุปกรณ์ hardware security module (HSM) หรืออุปกรณ์ที่ทำหน้าที่ในลักษณะเดียวกัน เป็นต้น 
    (2) มีการสำรองข้อมูลกุญแจเข้ารหัส โดยวิธีการเก็บรักษาข้อมูลกุญแจเข้ารหัสชุดสำรองต้องมีการรักษาความปลอดภัย 
ในระดับเดียวกับกุญแจเข้ารหัสชุดหลัก </t>
  </si>
  <si>
    <t>1. สัมภาษณ์ ผู้บริหารด้าน IT เกี่ยวกับกระบวนการ/ขั้นตอนการจัดเก็บและสำรองกุญแจเข้ารหัส
2. สอบทาน “ขั้นตอนการจัดเก็บและสำรองกุญแจเข้ารหัส” เพื่อให้มั่นใจว่ามีการจัดทำกระบวนการ/ขั้นตอนการควบคุมความปลอดภัย กุญแจเข้ารหัสมีการรักษาความปลอดภัยทั้งทางกายภาพ (physical) และ สิทธิในระบบ (logical)  อย่างน้อยได้แก่
    (1) มีการกำหนดมาตรการและการเฝ้าระวังเพื่อสร้างความมั่นคงปลอดภัยทั้งทางกายภาพ (physical) และ สิทธิในระบบ (logical) ของอุปกรณ์ที่ใช้ในการจัดเก็บกุญแจเข้ารหัส
    (2) มีการกำหนดผู้รับผิดชอบในการดูแลอุปกรณ์ที่ใช้ในการจัดเก็บกุญแจเข้ารหัส
3. สอบทาน "กระบวนการหรือวิธีการจัดเก็บกุญแจเข้ารหัส" เพื่อให้มั่นใจว่ามีการรักษาความปลอดภัยในการจัดเก็บหรือสำรองกุญแจเข้ารหัส (การจัดเก็บทั้งรูปแบบ physical และ logical เช่น การใช้อุปกรณ์ hardware security module (HSM) หรืออุปกรณ์ที่ทำหน้าที่ในลักษณะเดียวกัน เป็นต้น)
4. สอบทานการจัดเก็บกุญแจเข้ารหัสสำรอง เพื่อให้มั่นใจว่ามีการรักษาความปลอดภัย ในระดับเดียวกับกุญแจเข้ารหัสชุดหลัก และไม่ได้รับผลกระทบจากเหตุการณ์ความเสี่ยงพร้อมกับกุญแจเข้ารหัสชุดหลัก (เช่น กรณีเกิดเหตุไฟไหม้สถานที่จัดเก็บกุญแจหลัก กุญแจสำรองต้องไม่ได้รับผลกระทบ)</t>
  </si>
  <si>
    <t>D2.6 #5</t>
  </si>
  <si>
    <t>6.2 #3</t>
  </si>
  <si>
    <t xml:space="preserve">มีการกำหนดเกณฑ์และแนวทางในการเปลี่ยนและเพิกถอนกุญแจเข้ารหัส โดยครอบคลุมถึงเนื้อหาขั้นต่ำ ดังนี้
    (1) เกณฑ์และแนวทางในการเปลี่ยนและเพิกถอนกุญแจเข้ารหัส เช่น กรณีกุญแจเข้ารหัสหมดอายุการใช้งาน หรือไม่ปลอดภัย เป็นต้น 
    (2) การอนุมัติการเปลี่ยนแปลง และยกเลิกกุญแจเข้ารหัส
    (3) กระบวนการทำลายกุญแจเข้ารหัส 
    (4) การติดตามวันหมดอายุของกุญแจเข้ารหัส หรือ certificate ที่มีการใช้งาน เพื่อต่ออายุหรือติดตั้งกุญแจเข้ารหัสใหม่ก่อนที่จะเกิดผลกระทบ
</t>
  </si>
  <si>
    <t>1. สัมภาษณ์ ผู้บริหารด้าน IT เกี่ยวกับขั้นตอนการเปลี่ยนแปลง เพิกถอน และการทำลายกุญแจเข้ารหัส 
2. สอบทาน “ขั้นตอนการเปลี่ยนแปลง เพิกถอน และการทำลายกุญแจเข้ารหัส” เพื่อให้มั่นใจว่ามีแนวปฏิบัติการบริหารเปลี่ยนแปลง และ ยกเลิกกุญแจเข้ารหัสข้อมูล โดยครอบคลุมถึงเนื้อหาขั้นต่ำ ดังนี้
    (1) เกณฑ์และแนวทางในการเปลี่ยนและเพิกถอนกุญแจเข้ารหัส เช่น กรณีกุญแจเข้ารหัสหมดอายุการใช้งาน หรือไม่ปลอดภัย เป็นต้น 
    (2) การอนุมัติการเปลี่ยนแปลง และยกเลิกกุญแจเข้ารหัส
    (3) กระบวนการทำลายกุญแจเข้ารหัส 
    (4) การติดตามวันหมดอายุของกุญแจเข้ารหัส หรือ certificate ที่มีการใช้งาน เพื่อต่ออายุหรือติดตั้งกุญแจเข้ารหัสใหม่ก่อนที่จะเกิดผลกระทบ
3. สอบทาน "กระบวนการทำลายกุญแจเพื่อการเข้ารหัส" เพื่อให้มั่นใจได้ว่ามีกระบวนการทำลายกุญแจเพื่อการเข้ารหัสอย่างเหมาะสมและสอดคล้องกับแนวปฏิบัติการบริหารเปลี่ยนแปลง และ ยกเลิกกุญแจเข้ารหัสข้อมูล</t>
  </si>
  <si>
    <t>D2.6 #6</t>
  </si>
  <si>
    <t>6.2 #4</t>
  </si>
  <si>
    <t>มีการจัดเก็บบันทึกหลักฐานทั้งการเข้าถึง (access log) และการดำเนินงาน (activity log/audit log) ที่เกี่ยวกับการบริหารจัดการกุญแจเข้ารหัส ได้แก่ การสร้างกุญแจ การสำรองกุญแจ การเข้าถึงหรือใช้งานกุญแจ และการเพิกถอนกุญแจเพื่อการสอบทานในอนาคต รวมถึงมีการสอบทานบันทึกเหตุการณ์เกี่ยวกับการใช้กุญแจเข้ารหัสอย่างสม่ำเสมอ ตามมาตรการบริหารจัดการบันทึกเหตุการณ์ของระบบสารสนเทศ</t>
  </si>
  <si>
    <r>
      <t>1. สัมภาษณ์ ผู้บริหารด้านการรักษาความปลอดภัยสารสนเทศ เกี่ยวกับการจัดเก็บข้อมูลบันทึกเหตุการณ์กิจกรรมสำคัญที่เกี่ยวกับการบริหารจัดการกุญแจเข้ารหัส ได้แก่ การสร้างกุญแจ การสำรองกุญแจ การเข้าถึงหรือใช้งาน และการเพิกถอนกุญแจ
2. สอบทาน “บันทึกเหตุการณ์การบริหารจัดการกุญแจเข้ารหัส" เพื่อให้มั่นใจว่ามีการจัดเก็บบันทึกเหตุการณ์กิจกรรมที่สำคัญ ได้แก่ การสร้างกุญแจ การสำรองกุญแจ การเข้าถึงหรือใช้งาน และการเพิกถอนกุญแจ ทั้งนี้ บันทึกเหตุการณ์ควรประกอบด้วย ข้อมูลที่ถูกเข้าถึง ผู้เข้าถึง วัน/เวลา รวมทั้งกิจกรรมที่เกิดขึ้น เป็นอย่างน้อย และมีการป้องกันข้อมูลบันทึกเหตุการณ์อย่างเหมาะสม เพื่อให้สามารถนำมาวิเคราะห์ต่อไปได้
(M4) 3. สอบทาน "หลักฐานของการสอบทานการจัดเก็บบันทึกเหตุการณ์การบริหารจัดการกุญแจเข้ารหัส" โดยบุคคลหรือหน่วยงานที่มีความเป็นอิสระจากหน่วยงานที่ทำหน้าที่ปฏิบัติงาน เพื่อให้มั่นใจว่ามีการจัดเก็บบันทึกเหตุการณ์กิจกรรมที่สำคัญ ได้แก่ การสร้างกุญแจ การสำรองกุญแจ การเข้าถึงหรือใช้งาน และการเพิกถอนกุญแจอย่างต่อเนื่อง
(M5) 4. สังเกตการณ์การใช้เครื่องมืออัตโนมัติ (automated tools) ในการตรวจสอบความผิดปกติของการใช้งานกุญแจเข้ารหัสและแจ้งเตือนไปยังหน่วยงานที่เกี่ยวข้อง</t>
    </r>
    <r>
      <rPr>
        <sz val="10"/>
        <color rgb="FFFF0000"/>
        <rFont val="Tahoma"/>
        <family val="2"/>
        <scheme val="major"/>
      </rPr>
      <t xml:space="preserve">
</t>
    </r>
  </si>
  <si>
    <t>ไม่มีการจัดเก็บบันทึกเหตุการณ์กิจกรรมสำคัญที่เกี่ยวกับกุญแจเข้ารหัส</t>
  </si>
  <si>
    <t>มีการจัดเก็บบันทึกเหตุการณ์กิจกรรมสำคัญที่เกี่ยวกับกุญแจเข้ารหัสแต่ไม่ครบถ้วน</t>
  </si>
  <si>
    <t>มีการจัดเก็บบันทึกเหตุการณ์กิจกรรมสำคัญที่เกี่ยวกับกุญแจเข้ารหัสครบถ้วน</t>
  </si>
  <si>
    <t>มีการจัดทำตาม Maturity Level 3 รวมถึงมีการสอบทานการจัดเก็บบันทึกเหตุการณ์การบริหารจัดการกุญแจเข้ารหัส โดยบุคคลหรือหน่วยงานที่มีความเป็นอิสระจากหน่วยงานที่ทำหน้าที่ปฏิบัติงาน เพื่อให้มั่นใจว่ามีการจัดเก็บบันทึกเหตุการณ์กิจกรรมที่สำคัญ ได้แก่ การสร้างกุญแจ การสำรองกุญแจ การเข้าถึงหรือใช้งาน และการเพิกถอนกุญแจ</t>
  </si>
  <si>
    <t>มีการจัดทำตาม Maturity Level 4 รวมถึงมีการใช้เครื่องมืออัตโนมัติ (automated tools) ในการตรวจสอบความผิดปกติของการใช้งานกุญแจเข้ารหัสและแจ้งเตือนไปยังหน่วยงานที่เกี่ยวข้อง</t>
  </si>
  <si>
    <t>D2.6 #7</t>
  </si>
  <si>
    <t>6.3 #1</t>
  </si>
  <si>
    <t xml:space="preserve">มีการกำหนดมาตรการการควบคุมกุญแจเข้ารหัสที่ให้บริการโดยบุคคลภายนอก ซึ่งครอบคลุมเนื้อหาขั้นต่ำ ดังต่อไปนี้
    (1) ประเภทของกุญแจเข้ารหัสที่ให้บริการ
    (2) รายละเอียดของระบบหรือเครื่องมือเข้ารหัส รวมถึงกระบวนการควบคุมการเข้ารหัสในแต่ละขั้นตอน ตลอดวงจรการบริหารจัดการกุญแจเข้ารหัส
    (3) ข้อแนะนำการใช้งานและการควบคุมการเข้ารหัสข้อมูล
</t>
  </si>
  <si>
    <t>1. สัมภาษณ์ ผู้บริหารด้าน IT  เกี่ยวกับการกำหนดมาตรการการควบคุมกุญแจเข้ารหัสที่ให้บริการโดยบุคคลภายนอก 
2. สอบทาน เงื่อนไขหรือรายละเอียดของการให้บริการ ในสัญญาที่จัดทำกับทางผู้ให้บริการภายนอก ซึ่งควรครอบคลุมเนื้อหาขั้นต่ำดังนี้
    (1) ประเภทของกุญแจเข้ารหัสที่ให้บริการ
    (2) รายละเอียดของระบบหรือเครื่องมือเข้ารหัส รวมถึงกระบวนการควบคุมการเข้ารหัสในแต่ละขั้นตอน ตลอดวงจรการบริหารจัดการกุญแจเข้ารหัส
    (3) ข้อแนะนำการใช้งานและการควบคุมการเข้ารหัสข้อมูล
    (4) ไม่มีการนำมาใช้งานร่วมกับผู้ใช้บริการรายอื่นและมีความมั่นคงปลอดภัย
3. สอบทาน เงื่อนไขหรือรายละเอียดของการให้บริการ เพื่อให้มั่นใจว่า กุญแจเข้ารหัสที่ให้บริการโดยบุคคลภายนอกไม่มีการนำมาใช้งานร่วมกับผู้ใช้บริการรายอื่นและมีความมั่นคงปลอดภัย
4. สอบทาน “รายงานสรุปผลการควบคุมดูแลกุญแจการเข้ารหัสที่ให้บริการโดยบุคคลภายนอก" เพื่อให้มั่นใจว่ามีการเฝ้าติดตาม ตรวจสอบความเสี่ยงที่อาจจะเกิดขึ้นกับ IT ในการเข้ารหัสให้เป็นความลับอย่างสม่ำเสมอ และวิธีการเข้ารหัสข้อมูลที่ใช้งานอยู่ ยังมีความมั่นคงเพียงพอในการรักษาความปลอดภัยของข้อมูล</t>
  </si>
  <si>
    <t>D2.6 #8</t>
  </si>
  <si>
    <t>6.4 #1</t>
  </si>
  <si>
    <t>มีการกำหนดกระบวนการรองรับกรณีเกิดการรั่วไหลของกุญแจเข้ารหัส โดยครอบคลุมเนื้อหา เช่น
    (1) ข้อมูลการติดต่อหน่วยงานและผู้ที่เกี่ยวข้องกับชุดข้อมูลที่ใช้กุญแจเข้ารหัส
    (2) การตรวจสอบชุดข้อมูลที่มีความเสี่ยงในการรั่วไหล การเปลี่ยนหรือเพิกถอนกุญแจการเข้ารหัสข้อมูล</t>
  </si>
  <si>
    <t>1. สัมภาษณ์ ผู้บริหารด้าน IT เกี่ยวกับการกำหนดกระบวนการรองรับกรณีเกิดการรั่วไหลของกุญแจเข้ารหัส
2. สอบทาน "กระบวนการ คู่มือ หรือ แนวปฏิบัติในกรณีเกิดการรั่วไหลของกุญแจเข้ารหัส" เพื่อให้มั่นใจว่ามีการจัดทำให้ครอบคลุมรายการกิจกรรมที่ต้องปฎิบัติอย่างน้อย ดังนี้
    (1) ข้อมูลการติดต่อหน่วยงานและผู้ที่เกี่ยวข้องกับชุดข้อมูลที่ใช้กุญแจเข้ารหัส
    (2) การตรวจสอบชุดข้อมูลที่มีความเสี่ยงในการรั่วไหล การเปลี่ยนหรือเพิกถอนกุญแจการเข้ารหัสข้อมูล
3. สอบทานหลักฐานของการสอบทานและปรับปรุง “กระบวนการ คู่มือ หรือ แนวปฏิบัติในกรณีเกิดการรั่วไหลของกุญแจเข้ารหัส” เพื่อให้มั่นใจว่า ข้อมูลการติดต่อหน่วยงานและผู้ที่เกี่ยวข้อง และ แนวปฎิบัติในกรณีเกิดการรั่วไหลของกุญแจเข้ารหัสได้รับการสอบทาน และปรับปรุงให้เหมาะสมกับการปฏิบัติงานและสอดคล้องกับการดำเนินงานขององค์กร 
4. สอบทาน "รายงานสรุปข้อมูลการรั่วไหลของกุญแจเข้ารหัส" เพื่อนำไปประเมินความเสี่ยง วิเคราะห์หาสาเหตุ และพัฒนาปรับปรุงวิธีบริหารจัดการกุญแจให้มีประสิทธิภาพในการป้องกันความเสี่ยงที่อาจเกิดขึ้นในอนาคต</t>
  </si>
  <si>
    <t>ส่วนที่ 7  การรักษาความมั่นคงปลอดภัยทางกายภาพและสภาพแวดล้อม (physical and environmental security)</t>
  </si>
  <si>
    <t>D2.7 #1</t>
  </si>
  <si>
    <t>7 #1</t>
  </si>
  <si>
    <t>มีการออกแบบศูนย์คอมพิวเตอร์ และพื้นที่ที่เกี่ยวข้องกับระบบ IT ที่มีนัยสำคัญ โดยคำนึงถึงความเสี่ยงจากภัยธรรมชาติ และภัยคุกคามจากมนุษย์ เช่น มีกำแพงหรือรั้วที่มั่นคง และมีระยะห่างของศูนย์คอมพิวเตอร์สำรองและศูนย์คอมพิวเตอร์หลักที่เพียงพอ</t>
  </si>
  <si>
    <t>1. สัมภาษณ์ ผู้บริหารด้าน IT เกี่ยวกับ
    (1) การออกแบบศูนย์คอมพิวเตอร์ และพื้นที่ที่เกี่ยวข้องกับระบบ IT ที่มีนัยสำคัญ
    (2) มาตรการเพื่อสร้างความมั่นคงปลอดภัยทางกายภาพและสภาพแวดล้อมของทรัพย์สินสารสนเทศ
    (3) การป้องกันทรัพย์สินไม่ให้สูญหาย ถูกโจรกรรม เสียหาย ถูกเข้าถึง หรือ ถูกใช้งาน โดยบุคคลที่ไม่ได้รับอนุญาต
2. สังเกตการณ์ "ศูนย์คอมพิวเตอร์ และพื้นที่ที่เกี่ยวข้องกับระบบ IT ที่มีนัยสำคัญ" เพื่อให้มั่นใจว่ามีการออกแบบและมีมาตรการป้องกันโดยคำนึงถึงความเสี่ยง จากภัยธรรมชาติและภัยคุกคามจากมนุษย์อย่างเหมาะสม</t>
  </si>
  <si>
    <t>D2.7 #2</t>
  </si>
  <si>
    <t>7 #2</t>
  </si>
  <si>
    <t>มีการบริหารจัดการสิทธิการเข้าออกศูนย์คอมพิวเตอร์ และพื้นที่ที่เกี่ยวข้องกับระบบ IT ที่มีนัยสำคัญ โดยครอบคลุมการดำเนินการอย่างน้อย ดังนี้ 
    (1) ให้สิทธิการเข้าถึงตามหลักความจำเป็น
    (2) อนุมัติสิทธิการเข้าถึงโดยผู้มีอำนาจ
    (3) ปรับปรุง/ยกเลิกสิทธิการเข้าถึง ทันทีที่พนักงานลาออกหรือเปลี่ยนหน้าที่ความรับผิดชอบ
    (4) ทบทวนสิทธิการเข้าถึงอย่างสม่ำเสมออย่างน้อยปีละ 1 ครั้ง</t>
  </si>
  <si>
    <t xml:space="preserve">1. สัมภาษณ์ ผู้บริหารด้าน IT เกี่ยวกับการบริหารจัดการสิทธิการเข้าออกศูนย์คอมพิวเตอร์ และพื้นที่ที่เกี่ยวข้องกับระบบ IT ที่มีนัยสำคัญ
2. สอบทาน นโยบายหรือขั้นตอนการปฏิบัติงาน เพื่อให้มั่นใจว่า เนื้อหาครอบคลุมตามข้อกำหนด ได้แก่  
    (1) การให้สิทธิการเข้าถึงตามหลักความจำเป็น
    (2) การอนุมัติสิทธิการเข้าถึงโดยผู้มีอำนาจ
    (3) การปรับปรุง/ยกเลิกสิทธิการเข้าถึง ทันทีที่พนักงานลาออกหรือเปลี่ยนหน้าที่ความรับผิดชอบ
    (4) การทบทวนสิทธิการเข้าถึงอย่างสม่ำเสมออย่างน้อยปีละ 1 ครั้ง
3. สุ่มสอบทาน "เอกสารการอนุมัติ" กรณีมีพนักงานได้รับอนุญาตเข้าออกศูนย์คอมพิวเตอร์ และพื้นที่ที่เกี่ยวข้องกับระบบ IT ที่มีนัยสำคัญ
4. สอบทาน  “รายชื่อผู้ใช้งานในระบบที่สามารถเข้าถึงห้องศูนย์คอมพิวเตอร์ (door access)"  หรือ “รายชื่อผู้ถือกุญแจห้องศูนย์คอมพิวเตอร์" เปรียบเทียบกับ "รายชื่อผู้ที่มีสิทธิเข้าถึงห้องศูนย์คอมพิวเตอร์" เพื่อให้มั่นใจว่ามีการกำหนดสิทธิการเข้าออกศูนย์คอมพิวเตอร์ และพื้นที่ที่เกี่ยวข้องกับระบบ IT ที่มีนัยสำคัญ ให้กับพนักงานที่มีหน้าที่รับผิดชอบและได้รับอนุญาตให้เข้าออกศูนย์คอมพิวเตอร์เท่านั้น และปรับปรุงให้เป็นปัจจุบัน
5. สอบทาน "ผลการสอบทานรายชื่อผู้ใช้งานในระบบที่สามารถเข้าถึงห้องศูนย์คอมพิวเตอร์ (door access)"  หรือ “รายชื่อผู้ถือกุญแจห้องศูนย์คอมพิวเตอร์"  เพื่อให้มั่นใจว่าบริษัทมีการทบทวนอย่างสม่ำเสมออย่างน้อยปีละ 1 ครั้ง
(M4) 6. สอบทาน หลักฐานของการสอบทานรายชื่อผู้ใช้งานในระบบที่สามารถเข้าถึงห้องศูนย์คอมพิวเตอร์ (door access)"  หรือ และ“รายชื่อผู้ถือกุญแจห้องศูนย์คอมพิวเตอร์" โดยบุคคลหรือหน่วยงานที่มีความเป็นอิสระจากหน่วยงานที่ทำหน้าที่ปฏิบัติงาน เพื่อให้มั่นใจว่ามีการสอบทานสิทธิการเข้าออกศูนย์คอมพิวเตอร์ และพื้นที่ที่เกี่ยวข้องกับระบบ IT ที่มีนัยสำคัญอย่างสม่ำเสมอ
(M5) 7. สังเกตการณ์การใช้เครื่องมืออัตโนมัติ (automated tools) ในการกำหนดและปรับปรุงสิทธิการเข้าถึงศูนย์คอมพิวเตอร์ และพื้นที่ที่เกี่ยวข้องกับระบบ IT ที่มีนัยสำคัญให้เป็นปัจจุบัน </t>
  </si>
  <si>
    <t>บริษัทไม่มีกระบวนการหรือขั้นตอนการปฏิบัติงานในการบริหารจัดการสิทธิการเข้าออกศูนย์คอมพิวเตอร์ และพื้นที่ที่เกี่ยวข้องกับระบบ IT ที่มีนัยสำคัญ</t>
  </si>
  <si>
    <t>บริษัทมีกระบวนการหรือขั้นตอนการปฏิบัติงานในการบริหารจัดการสิทธิการเข้าออกศูนย์คอมพิวเตอร์ และพื้นที่ที่เกี่ยวข้องกับระบบ IT ที่มีนัยสำคัญ แต่ไม่ครบถ้วนตามข้อกำหนด หรือไม่มีการอนุมัติการเข้าถึงจากผู้มีอำนาจ หรือ สิทธิการเข้าถึงไม่เป็นปัจจุบัน หรือไม่มีการทบทวนสิทธิอย่างน้อยปีละ 1 ครั้ง</t>
  </si>
  <si>
    <t>บริษัทมีกระบวนการหรือขั้นตอนการปฏิบัติงานในการบริหารจัดการสิทธิการเข้าออกศูนย์คอมพิวเตอร์ และพื้นที่ที่เกี่ยวข้องกับระบบ IT ที่มีนัยสำคัญครบถ้วนตามข้อกำหนด มีการอนุมัติการเข้าถึงโดยผู้มี และการกำหนดสิทธิการเข้าถึงเป็นปัจจุบัน รวมทั้ง การทบทวนสิทธิอย่างน้อยปีละ 1 ครั้ง</t>
  </si>
  <si>
    <t>มีการจัดทำตาม Maturity Level 3 รวมถึงจัดให้มีการสอบทาน "รายชื่อผู้ใช้งานในระบบที่สามารถเข้าถึงห้องศูนย์คอมพิวเตอร์ (door access)" หรือ “รายชื่อผู้ถือกุญแจห้องศูนย์คอมพิวเตอร์" โดยบุคคลหรือหน่วยงานที่มีความเป็นอิสระจากหน่วยงานที่ทำหน้าที่ปฏิบัติงาน เพื่อให้มั่นใจว่ามีการสอบทานสิทธิการเข้าออกศูนย์คอมพิวเตอร์ และพื้นที่ที่เกี่ยวข้องกับระบบ IT ที่มีนัยสำคัญอย่างสม่ำเสมอ</t>
  </si>
  <si>
    <t>มีการจัดทำตาม Maturity Level 4 รวมถึงมีจัดให้มีการใช้เครื่องมืออัตโนมัติ (automated tools) ในกำหนดและปรับปรุงสิทธิการเข้าถึงศูนย์คอมพิวเตอร์ และพื้นที่ที่เกี่ยวข้องกับระบบ IT ที่มีนัยสำคัญให้เป็นปัจจุบัน</t>
  </si>
  <si>
    <t>D2.7 #3</t>
  </si>
  <si>
    <t>7 #3</t>
  </si>
  <si>
    <t>มีวิธีการยืนยันตัวตนผู้เข้า-ออกศูนย์คอมพิวเตอร์ และพื้นที่ที่เกี่ยวข้องกับระบบ IT ที่มีนัยสำคัญ เช่น การใช้ access card door เป็นต้น พร้อมทั้งบันทึกเหตุการณ์การเข้า-ออก
ทั้งนี้ สำหรับพื้นที่ที่มีความเสี่ยงสูง ผู้ประกอบธุรกิจอาจพิจารณาใช้การพิสูจน์และยืนยันตัวตนแบบ multi-factor authentication : MFA เช่น ใช้ access card door ร่วมกับรหัสผ่านส่วนตัว (PIN) เป็นต้น</t>
  </si>
  <si>
    <t>1. สังเกตการณ์ศูนย์คอมพิวเตอร์  และพื้นที่ที่เกี่ยวข้องกับระบบ IT ที่มีนัยสำคัญ เพื่อให้มั่นใจว่า มีกระบวนการยืนยันตัวตน  เช่น การใช้ access card door หรับพื้นที่ปกติ และอาจใช้การพิสูจน์และยืนยันตัวตนแบบหลายปัจจัย (multi-factor authentication : MFA) สำหรับพื้นที่ที่มีความเสี่ยงสูง เป็นต้น 
(M4) 2. สอบทาน “หลักฐานการตรวจสอบบันทึกเหตุการณ์ในการเข้า-ออกห้องศูนย์คอมพิวเตอร์” โดยบุคคลหรือหน่วยงานที่มีความเป็นอิสระจากหน่วยงานที่ทำหน้าที่ปฏิบัติงานเพื่อให้มั่นใจว่ามีเพียงผู้ที่ได้รับอนุญาตเท่านั้นในการเข้าออกศูนย์คอมพิวเตอร์ และพื้นที่ที่เกี่ยวข้องกับระบบ IT ที่มีนัยสำคัญ รวมถึงจัดให้มีการนำกิจกรรมที่ผิดปกติ เช่น การเข้าออกห้องศูนย์คอมพิวเตอร์ในเวลาผิดปกติจากที่ได้กำหนดไว้ในขั้นตอนการปฏิบัติงาน มาตรวจสอบหาสาเหตุในลำดับถัดไป
(M5) 3. สังเกตการณ์การใช้เครื่องมืออัตโนมัติ (automated tools) ในการตรวจสอบและแจ้งเตือนพฤติกรรมผิดปกติของการเข้าออกศูนย์คอมพิวเตอร์ และพื้นที่ที่เกี่ยวข้องกับระบบ IT ที่มีนัยสำคัญ  เช่น การเข้าออกในเวลาผิดปกติจากที่ได้กำหนดไว้ในขั้นตอนการปฏิบัติงาน การพยายามเข้าถึงโดยผู้ไม่ได้รับอนุญาต</t>
  </si>
  <si>
    <t>บริษัทไม่มีการยืนยันตัวตนผู้เข้า-ออกศูนย์คอมพิวเตอร์ และพื้นที่ที่เกี่ยวข้องกับระบบ IT ที่มีนัยสำคัญ</t>
  </si>
  <si>
    <t>บริษัทมีการยืนยันตัวตนผู้เข้า-ออกศูนย์คอมพิวเตอร์ และพื้นที่ที่เกี่ยวข้องกับระบบ IT ที่มีนัยสำคัญ แต่ไม่ครอบคลุมทุกทางเข้า-ออก</t>
  </si>
  <si>
    <t xml:space="preserve">บริษัทมีการยืนยันตัวตนผู้เข้า-ออกศูนย์คอมพิวเตอร์ และพื้นที่ที่เกี่ยวข้องกับระบบ IT ที่มีนัยสำคัญครบถ้วน </t>
  </si>
  <si>
    <t>มีการจัดทำตาม Maturity Level 3 รวมถึงจัดให้มีการตรวจสอบบันทึกเหตุการณ์ในการเข้า-ออกห้องศูนย์คอมพิวเตอร์โดยบุคคลหรือหน่วยงานที่มีความเป็นอิสระจากหน่วยงานที่ทำหน้าที่ปฏิบัติงาน เพื่อให้มั่นใจว่า กิจกรรมการเข้าออกเป็นไปตามปกติโดยผู้ที่ได้รับอนุญาตเท่านั้น</t>
  </si>
  <si>
    <t>มีการจัดทำตาม Maturity Level 4 รวมถึงจัดให้มีการใช้เครื่องมืออัตโนมัติ (automated tools) ในการตรวจสอบการเข้าออกศูนย์คอมพิวเตอร์ และพื้นที่ที่เกี่ยวข้องกับระบบ IT ที่มีนัยสำคัญ และแจ้งเตือนกิจกรรมที่ผิดปกติ เช่น การเข้าออกในเวลาผิดปกติจากที่ได้กำหนดไว้ในขั้นตอนการปฏิบัติงาน การพยายามเข้าถึงโดยผู้ไม่ได้รับอนุญาต ไปยังผู้ที่เกี่ยวข้อง</t>
  </si>
  <si>
    <t>D2.7 #4</t>
  </si>
  <si>
    <t>7 #4</t>
  </si>
  <si>
    <t>มีมาตรการควบคุมการเข้า-ออกศูนย์คอมพิวเตอร์ และพื้นที่ที่เกี่ยวข้องกับระบบ IT ที่มีนัยสำคัญ สำหรับพนักงานที่ไม่ได้มีหน้าที่ปฏิบัติงานประจำหรือผู้ที่เข้าถึงแบบชั่วคราว จัดให้มีการอนุมัติโดยผู้มีอำนาจ มีการบันทึกเหตุการณ์เข้า-ออก และการติดตามและควบคุม (escort) อย่างใกล้ชิด ตลอดระยะเวลาปฏิบัติงานในพื้นที่ดังกล่าว</t>
  </si>
  <si>
    <t>1. สังเกตการณ์ศูนย์คอมพิวเตอร์ เพื่อให้มั่นใจว่า มีกระบวนการตรวจสอบตัวตนและควบคุมบุคคลภายนอก ที่เข้าใช้งานศูนย์คอมพิวเตอร์ เช่น มีการแจ้งล่วงหน้าเพื่อขอเข้าศูนย์คอมพิวเตอร์  มีการจัดทำรายชื่อผู้เข้าห้องศูนย์คอมพิวเตอร์ (visitor log book) เป็นต้น
2. สอบทานการอนุมัติโดยผู้มีอำนาจถึงการควบคุมเข้า-ออกศูนย์คอมพิวเตอร์ และพื้นที่ที่เกี่ยวข้องกับบระบบ IT ที่มีนัยสำคัญ
3. สอบทาน “รายชื่อผู้เข้าห้องศูนย์คอมพิวเตอร์” (visitor log book) เพื่อให้มั่นใจว่ามีการเก็บบันทึกเหตุการณ์การเข้าห้องศูนย์คอมพิวเตอร์โดยบุคคลภายนอกอย่างเหมาะสม โดยมีรายละเอียดดังนี้ 
    (1) วันและเวลาที่เข้าศูนย์คอมพิวเตอร์ 
    (2) วันและเวลาที่ออกจากศูนย์คอมพิวเตอร์
    (3) เป้าหมายของการเข้าใช้งาน
    (4) ชื่อ นามสกุล ของบุคคล และ หน่วยงานต้นสังกัด
    (5) พนักงานผู้รับผิดชอบในการเข้าถึง
4. สังเกตการณ์ห้องศูนย์คอมพิวเตอร์ เพื่อให้มั่นใจว่ามีการติดตามบุคคลภายนอกที่เข้าศูนย์คอมพิวเตอร์ ตลอดระยะเวลาการเข้าศูนย์คอมพิวเตอร์ โดยเจ้าหน้าที่จากหน่วยงานสารสนเทศ</t>
  </si>
  <si>
    <t>D2.7 #5</t>
  </si>
  <si>
    <t>7 #5</t>
  </si>
  <si>
    <t>มีระบบรักษาความมั่นคงปลอดภัยให้กับศูนย์คอมพิวเตอร์ เช่น ระบบกล้องวงจรปิด ระบบแจ้งเตือนและระงับอัคคีภัย ระบบควบคุมแรงดันและกระแสไฟฟ้า ระบบสำรองไฟฟ้า (uninterrupted power supply) และระบบควบคุมอุณหภูมิและความชื้น เป็นต้น พร้อมทั้งมีการบำรุงรักษาอย่างสม่ำเสมอ</t>
  </si>
  <si>
    <t>1. สังเกตการณ์ ศูนย์คอมพิวเตอร์และพื้นที่ที่เกี่ยวข้องกับระบบ IT ที่มีนัยสำคัญ เพื่อให้มั่นใจว่ามีการติดตั้งระบบรักษาความมั่นคงปลอดภัยและมีการเฝ้าระวังติดตามการเข้าถึงการกายภาพโดยไม่ได้รับอนุญาตอย่างต่อเนื่อง เช่น ระบบกล้องวงจรปิด ระบบแจ้งเตือนและระงับอัคคีภัย ระบบควบคุมแรงดันและกระแสไฟฟ้า ระบบสำรองไฟฟ้า (uninterrupted power supply) และระบบควบคุมอุณหภูมิและความชื้น เป็นต้น
2. สุ่มสอบทาน “เอกสารผลการบำรุงรักษา หรือ การทดสอบอุปกรณ์ภายในห้องศูนย์คอมพิวเตอร์” เพื่อให้มั่นใจว่ามีการบำรุงรักษาอุปกรณ์ต่าง ๆ ให้มีความพร้อมใช้งานอย่างสม่ำเสมอ</t>
  </si>
  <si>
    <t>D2.7 #6</t>
  </si>
  <si>
    <t>7 #6</t>
  </si>
  <si>
    <t>มีมาตรการรองรับการทำงานผิดพลาดของระบบสาธารณูปโภคของศูนย์คอมพิวเตอร์ เช่น ระบบไฟฟ้า ระบบโทรคมนาคมและระบบปรับอากาศ เป็นต้น</t>
  </si>
  <si>
    <t>1. สังเกตการณ์ ศูนย์คอมพิวเตอร์ และพื้นที่ที่เกี่ยวข้องกับระบบ IT ที่มีนัยสำคัญ เพื่อให้มั่นใจว่ามีมาตรการรองรับการทำงานผิดพลาดของระบบสาธารณูปโภคของศูนย์คอมพิวเตอร์ให้มีความยืดหยุ่นพอที่จะรองรับทั้งสถานกาณ์ปกติและผิดปกติ เช่น 
    (1) ระบบไฟฟ้า มีระบบไฟฟ้าสำรอง เป็นต้น
    (2) ระบบโทรคมนาคม มีผู้ให้บริการระบบอินเตอร์เน็ตสำรอง หรือช่องทางเชื่อมต่ออินเทอร์เน็ตสำรอง เป็นต้น
    (3) ระบบปรับอากาศ มีระบบปรับอากาศสำรอง เพื่อสลับการทำงาน เป็นต้น</t>
  </si>
  <si>
    <t>D2.7 #7</t>
  </si>
  <si>
    <t>7 #7</t>
  </si>
  <si>
    <t>มีการจัดเก็บอุปกรณ์คอมพิวเตอร์ที่สำคัญ เช่น เครื่องแม่ข่าย และอุปกรณ์เครือข่าย เป็นต้น ไว้ในพื้นที่ที่มีการควบคุมอย่างปลอดภัย</t>
  </si>
  <si>
    <t>1. สังเกตการณ์ ศูนย์คอมพิวเตอร์ และพื้นที่ที่เกี่ยวข้องกับระบบ IT ที่มีนัยสำคัญ เพื่อให้มั่นใจว่ามีการจัดเก็บอุปกรณ์คอมพิวเตอร์ที่สำคัญ เช่น เครื่องแม่ข่าย และอุปกรณ์เครือข่าย เป็นต้น ไว้ในพื้นที่ที่มีการควบคุมอย่างปลอดภัย   
2. สอบทาน “เอกสารคำร้องขอนำทรัพย์สินทางด้าน IT ออกนอกพื้นที่” เพื่อให้มั่นใจว่า มีการรักษาความปลอดภัยที่เหมาะสมตามสถานที่ที่ทรัพย์สินถูกส่งไปจัดเก็บ ใช้งาน หรือซ่อมแซม</t>
  </si>
  <si>
    <t>D2.7 #8</t>
  </si>
  <si>
    <t>7 #8</t>
  </si>
  <si>
    <t>มีมาตรการป้องกันสายเคเบิลและสายไฟของศูนย์คอมพิวเตอร์จากการขัดขวางการทำงาน การแทรกแซงสัญญาณ หรือการทำให้เสียหาย และบำรุงรักษาอย่างสม่ำเสมอ</t>
  </si>
  <si>
    <t>1. สังเกตการณ์ ศูนย์คอมพิวเตอร์ เพื่อให้มั่นใจว่ามีมาตรการป้องกันสายเคเบิลและสายไฟของศูนย์คอมพิวเตอร์จากการขัดขวางการทำงาน การแทรกแซงสัญญาณ หรือการทำให้เสียหาย และบำรุงรักษาอย่างสม่ำเสมอ เช่น ระบบพื้นยกและการแยกสายเคเบิลออกจากสายไฟ เป็นต้น</t>
  </si>
  <si>
    <t>D2.7 #9</t>
  </si>
  <si>
    <t>7 #9</t>
  </si>
  <si>
    <t>มีการดูแลและบำรุงรักษาทรัพย์สินด้าน IT ประเภทฮาร์ดแวร์อย่างถูกวิธี เพื่อให้อยู่ในสภาพครบถ้วนสมบูรณ์และพร้อมใช้งาน</t>
  </si>
  <si>
    <t>1. สุ่มสอบทาน “เอกสารผลการบำรุงรักษาทรัพย์สินด้าน IT ประเภทฮาร์ดแวร์” ได้แก่ เครื่องแม่ข่าย และอุปกรณ์เครือข่าย เพื่อให้มั่นใจว่ามีการบำรุงรักษาอุปกรณ์ต่าง ๆ ให้มีความพร้อมใช้งานอย่างสม่ำเสมอ</t>
  </si>
  <si>
    <t>D2.7 #10</t>
  </si>
  <si>
    <t>7 #10</t>
  </si>
  <si>
    <t>มีการแยกพื้นที่จุดรับส่งของ (delivery and loading area) ซึ่งเป็นพื้นที่ส่วนที่ต้องมีการเข้าถึงโดยบุคคลภายนอก ออกจากพื้นที่ที่มีการประมวลผลข้อมูล</t>
  </si>
  <si>
    <t>1. สังเกตการณ์ ศูนย์คอมพิวเตอร์ เพื่อให้มั่นใจว่ามีการแยกพื้นที่จุดรับส่งของ (delivery and loading area) ซึ่งเป็นพื้นที่ส่วนที่ต้องมีการเข้าถึงโดยบุคคลภายนอก ออกจากพื้นที่ที่มีการประมวลผลข้อมูล</t>
  </si>
  <si>
    <t>D2.7 #11</t>
  </si>
  <si>
    <t>7 #11</t>
  </si>
  <si>
    <t>มีการควบคุมมิให้มีการนำทรัพย์สินด้าน IT ประเภทฮาร์ดแวร์ออกนอกพื้นที่โดยมิได้รับอนุญาต</t>
  </si>
  <si>
    <t>1. สอบทาน “เอกสารคำร้องขอนำทรัพย์สินทางด้าน IT ออกนอกพื้นที่” เพื่อให้มั่นใจว่า เมื่อมีการนำทรัพย์สินออกนอกพื้นที่มีการร้องขอและ อนุมัติ โดยผู้บริหารที่เหมาะสม หรือ เจ้าของข้อมูลที่บรรจุในทรัพย์สินนั้น
2. สังเกตการณ์ ศูนย์คอมพิวเตอร์ หรือ กฎระเบียบในการเข้าใช้งานศูนย์คอมพิวเตอร์ เพื่อให้มั่นใจว่า มีการตรวจการนำทรัพย์สินเข้า-ออกศูนย์คอมพิวเตอร์ เพื่อป้องกันมิให้มีการนำทรัพย์สินด้าน IT ประเภทฮาร์ดแวร์ออกนอกพื้นที่โดยมิได้รับอนุญาต</t>
  </si>
  <si>
    <t>D2.7 #12</t>
  </si>
  <si>
    <t>7 #12</t>
  </si>
  <si>
    <t>ก่อนการยกเลิกการใช้งานหรือจำหน่ายทรัพย์สินด้าน IT ประเภทฮาร์ดแวร์ เช่น hard disk, switch, firewall และ router เป็นต้น มีการจัดเก็บทรัพย์สินในพื้นที่ปลอดภัย และตรวจสอบให้มั่นใจว่าได้มีการลบ ย้าย ทำลายข้อมูลสำคัญและข้อมูลการตั้งค่า (configuration) หรือปรับค่าดังกล่าวกลับไปสู่ค่าตั้งต้น (factory reset) ด้วยวิธีการที่ไม่สามารถกู้คืนได้อีก</t>
  </si>
  <si>
    <t>1. สัมภาษณ์ ผู้บริหารด้านการรักษาความปลอดภัย เกี่ยวกับการลบ ย้าย เขียนทับ ทำลายข้อมูลสำคัญ ซอฟต์แวร์ที่มีใบอนุญาต และข้อมูลการตั้งค่า (configuration) อย่างมั่นคงและปลอดภัยก่อนการยกเลิกการใช้งานอุปกรณ์ เช่น hard disk, switch, firewall และ router เป็นต้น และการจัดเก็บอุปกรณ์ที่ยกเลิกการใช้งานหรือรอจำหน่าย
2. สอบทาน “กระบวนการทำลายข้อมูล” ก่อนการยกเลิกการใช้งานหรือจำหน่ายทรัพย์สินสารสนเทศประเภทอุปกรณ์ด้านเครือข่าย เช่น switch, firewall และ router เป็นต้น เพื่อให้มั่นใจว่ามีการจัดทำกระบวนการทำลายข้อมูลเกี่ยวกับการตั้งค่า (configuration) ที่สำคัญ หรือปรับค่าดังกล่าวกลับไปสู่ค่าตั้งต้น (restore from factory) ด้วยวิธีการที่ทำให้มั่นใจได้ว่าไม่สามารถกู้คืนได้ ก่อนการยกเลิกการใช้งานหรือจำหน่ายทรัพย์สินสารสนเทศประเภทอุปกรณ์ด้านเครือข่าย
3. สังเกตการณ์การจัดเก็บทรัพย์สินด้าน IT ประเภทฮาร์ดแวร์ที่ยกเลิกการใช้งานหรือรอจำหน่าย เพื่อให้มั่นใจว่ามีการจัดเก็บทรัพย์สินในพื้นที่ปลอดภัย 
4. สอบทาน "รายงานผลการตรวจสอบการลบ ย้าย ทำลายข้อมูลสำคัญก่อนการยกเลิกการใช้งานหรือจำหน่ายทรัพย์สินด้าน IT ประเภทฮาร์ดแวร์" เพื่อให้มั่นใจว่า
   (1) มีการตรวจสอบให้มั่นใจว่ามีการการลบ ย้าย เขียนทับ ทำลายข้อมูลสำคัญ ซอฟต์แวร์ที่มีใบอนุญาต และข้อมูลการตั้งค่า  (configuration) หรือปรับค่าดังกล่าวกลับไปสู่ค่าตั้งต้น (factory reset) อย่างมั่นคงและปลอดภัยด้วยวิธีการที่ไม่สามารถกู้คืนได้อีก 
  (2) เจ้าของข้อมูลเข้าร่วมสังเกตการณ์การดำเนินการการลบ ย้าย ทำลายข้อมูลสำคัญ ซอฟต์แวร์ที่มีใบอนุญาตและข้อมูลการตั้งค่าอย่างปลอดภัยก่อนการยกเลิกการใช้งานอุปกรณ์</t>
  </si>
  <si>
    <t>ส่วนที่ 8  การรักษาความมั่นคงปลอดภัยในการปฏิบัติงานด้าน IT (IT operations security)</t>
  </si>
  <si>
    <t>การบริหารจัดการการตั้งค่าระบบ (system configuration management)</t>
  </si>
  <si>
    <t>D2.8 #1</t>
  </si>
  <si>
    <t>8.1 #1</t>
  </si>
  <si>
    <t>มีการกำหนดมาตรฐานการตั้งค่าด้านความมั่นคงปลอดภัย (security configuration standard) หรือ security baseline อย่างเป็นลายลักษณ์อักษร เพื่อใช้ในการตั้งค่าระบบปฏิบัติการ ระบบฐานข้อมูล และอุปกรณ์เครือข่าย โดยคำนึงถึงเรื่อง ดังนี้
    (1) การลบบัญชีผู้ใช้งานตั้งต้น (default user) หรือการเปลี่ยนแปลงรหัสผ่านตั้งต้น (default password)
    (2) การใช้วิธีการยืนยันตัวตนที่มีความรัดกุมปลอดภัย
    (3) การกำหนดบริการ แอปพลิเคชัน และพอร์ตการเชื่อมต่อเท่าที่จำเป็น
    (4) การจัดเก็บข้อมูลบันทึกเหตุการณ์ (log)
    (5) การปรับปรุงเวอร์ชันของซอฟต์แวร์และ firmware ให้เป็นปัจจุบัน</t>
  </si>
  <si>
    <t xml:space="preserve">1. สัมภาษณ์ ผู้บริหารด้าน IT หรือ IT Security เกี่ยวกับการกำหนดมาตรฐานการตั้งค่าด้านความมั่นคงปลอดภัย (security configuration standard) สำหรับระบบปฏิบัติการ ระบบฐานข้อมูล และอุปกรณ์เครือข่าย
2. สอบทาน "เอกสารมาตรฐานการตั้งค่าด้านความมั่นคงปลอดภัย (security configuration standard) สำหรับระบบปฏิบัติการ ระบบฐานข้อมูล และอุปกรณ์เครือข่าย" เพื่อให้มั่นใจว่ามีการกำหนดให้จัดทำมาตรฐานการตั้งค่าด้านความมั่นคงปลอดภัย โดยมีคำนึงถึงเรื่อง ดังนี้
    (1) การลบบัญชีผู้ใช้งานตั้งต้น (default user) หรือการเปลี่ยนแปลงรหัสผ่านตั้งต้น (default password)	
    (2) การใช้วิธีการยืนยันตัวตนที่มีความรัดกุมปลอดภัย 
    (3) การกำหนดบริการ แอปพลิเคชัน และพอร์ตการเชื่อมต่อเท่าที่จำเป็น
    (4) การจัดเก็บข้อมูลบันทึกเหตุการณ์ (log) 
    (5) การปรับปรุงเวอร์ชันของซอฟต์แวร์และ firmware ให้เป็นปัจจุบัน
 </t>
  </si>
  <si>
    <t>D2.8 #2</t>
  </si>
  <si>
    <t>8.1 #2</t>
  </si>
  <si>
    <t>มีการทบทวนและปรับปรุงมาตรฐานการตั้งค่าด้านความมั่นคงปลอดภัย (security configuration standard) หรือ  security baseline ให้เป็นปัจจุบันอย่างสม่ำเสมอ</t>
  </si>
  <si>
    <t>1. สอบทานเอกสารมาตรฐานการตั้งค่าด้านความมั่นคงปลอดภัย (security configuration standard) สำหรับระบบปฏิบัติการ ระบบฐานข้อมูล และอุปกรณ์เครือข่าย เพื่อให้มั่นใจว่า มาตรฐานการตั้งค่าด้านความมั่นคงปลอดภัย (security configuration standard) ได้รับการสอบทาน และปรับปรุงเมื่อมีการเปลี่ยนแปลงที่มีผลกระทบต่อมาตรฐานการตั้งค่าด้านความมั่นคงปลอดภัย (security configuration standard) อย่างสม่ำเสมอ</t>
  </si>
  <si>
    <t>D2.8 #3</t>
  </si>
  <si>
    <t>8.1 #3</t>
  </si>
  <si>
    <t>มีการตั้งค่าด้านความมั่นคงปลอดภัยของระบบปฏิบัติการ ระบบฐานข้อมูล และอุปกรณ์เครือข่ายตามมาตรฐานที่กำหนดไว้ ก่อนการนำไปใช้งาน</t>
  </si>
  <si>
    <t>1. สัมภาษณ์ ผู้บริหารด้าน IT เกี่ยวกับกระบวนการตั้งค่าความมั่นคงปลอดภัยของระบบและอุปกรณ์ตามมาตรฐานที่กำหนดไว้ (security hardening) ก่อนการนำไปใช้งาน
2. สอบทาน "นโยบายการปฏิบัติงานทางด้านสารสนเทศ" เพื่อให้มั่นใจว่ามีกำหนดให้ตั้งค่าความมั่นคงปลอดภัยของระบบและอุปกรณ์ตามมาตรฐานที่กำหนดไว้ (security hardening) ก่อนการนำไปใช้งาน</t>
  </si>
  <si>
    <t>D2.8 #4</t>
  </si>
  <si>
    <t>8.1 #4</t>
  </si>
  <si>
    <t>มีการสอบทานการตั้งค่าด้านความมั่นคงปลอดภัยของระบบปฏิบัติการ ระบบฐานข้อมูล และอุปกรณ์เครือข่าย อย่างสม่ำเสมอ และทุกครั้งที่มีการเปลี่ยนแปลงระบบและอุปกรณ์ดังกล่าวอย่างมีนัยสำคัญ เพื่อให้สอดคล้องกับมาตรฐานที่กำหนดไว้</t>
  </si>
  <si>
    <t>1. สัมภาษณ์ ผู้บริหารด้าน IT หรือ IT Security เกี่ยวกับกระบวนการสอบทานการตั้งค่าด้านความมั่นคงปลอดภัยของระบบและอุปกรณ์
2. สอบทาน "นโยบายการปฏิบัติงานทางด้านสารสนเทศ" เพื่อให้มั่นใจว่ามีการกำหนดให้มีการสอบทานการตั้งค่าด้านความมั่นคงปลอดภัยของระบบปฏิบัติการ ระบบฐานข้อมูล และอุปกรณ์เครือข่าย อย่างสม่ำเสมอ และทุกครั้งที่มีการเปลี่ยนแปลงระบบและอุปกรณ์ดังกล่าวอย่างมีนัยสำคัญ
3. สุ่มสอบทาน "การตั้งค่าความปลอดภัยมาตรฐาน (security hardening)" ของระบบงานที่สำคัญ ได้แก่ ระบบปฏิบัติการ ระบบฐานข้อมูล และอุปกรณ์เครือข่าย เพื่อให้มั่นใจว่ามีการตั้งค่าความมั่นคงปลอดภัยของระบบและอุปกรณ์ (security hardening) สอดคล้องกับมาตรฐานที่กำหนดไว้
(M4) 4. สอบทาน “หลักฐานการสอบทานการตั้งค่าความปลอดภัยมาตรฐาน (security hardening)" ได้แก่ ระบบปฏิบัติการ ระบบฐานข้อมูล และอุปกรณ์เครือข่าย” โดยบุคคลหรือหน่วยงานที่มีความเป็นอิสระจากหน่วยงานที่ทำหน้าที่ปฏิบัติงาน เพื่อให้มั่นใจว่ามีการสอบทานการตั้งค่าความมั่นคงปลอดภัยตามมาตรฐาน และทุกครั้งที่มีการเปลี่ยนแปลงระบบและอุปกรณ์ดังกล่าวอย่างมีนัยสำคัญ เพื่อให้สอดคล้องกับมาตรฐานที่กำหนดไว้อย่างสม่ำเสมอ
(M5) 5. สังเกตการณ์การใช้เครื่องมืออัตโนมัติ (automated tools) ในการสอบทานการตั้งค่าความปลอดภัยมาตรฐาน (security hardening) สำหรับ ระบบปฏิบัติการ ระบบฐานข้อมูล และอุปกรณ์เครือข่าย เทียบกับมาตรฐานที่กำหนดไว้หรือมาตรฐานสากล รวมทั้ง แจ้งเตือนการตั้งค่าที่ไม่ปลอดภัยไปยังผู้ที่เกี่ยวข้อง</t>
  </si>
  <si>
    <t>ไม่มีกระบวนการสอบทานการตั้งค่าความปลอดภัยมาตรฐาน (security hardening) สำหรับระบบปฏิบัติการ ระบบฐานข้อมูล และอุปกรณ์เครือข่าย</t>
  </si>
  <si>
    <t>มีการสอบทานการตั้งค่าความปลอดภัยมาตรฐาน (security hardening) สำหรับระบบปฏิบัติการ ระบบฐานข้อมูล และอุปกรณ์เครือข่ายแต่ไม่ครบถ้วนทุกรายการ</t>
  </si>
  <si>
    <t>มีการสอบทานการตั้งค่าความปลอดภัยมาตรฐาน (security hardening) สำหรับระบบปฏิบัติการ ระบบฐานข้อมูล และอุปกรณ์เครือข่ายครบถ้วน</t>
  </si>
  <si>
    <t>มีการจัดทำตาม Maturity Level 3 รวมถึง มีการสอบทานการตั้งค่าความปลอดภัยมาตรฐาน (security hardening) สำหรับ ระบบปฏิบัติการ ระบบฐานข้อมูล และอุปกรณ์เครือข่าย โดยบุคคลหรือหน่วยงานที่มีความเป็นอิสระจากหน่วยงานที่ทำหน้าที่ปฏิบัติงาน เพื่อให้มั่นใจว่ามีการสอบทานการตั้งค่าความมั่นคงปลอดภัยตามมาตรฐาน และทุกครั้งที่มีการเปลี่ยนแปลงระบบและอุปกรณ์ดังกล่าวอย่างมีนัยสำคัญ เพื่อให้สอดคล้องกับมาตรฐานที่กำหนดไว้อย่างสม่ำเสมอ</t>
  </si>
  <si>
    <t>มีการจัดทำตาม Maturity Level 4 โดยการใช้เครื่องมืออัตโนมัติ (automated tools) ในการสอบทานการตั้งค่าความปลอดภัยมาตรฐาน (security hardening) สำหรับ ระบบปฏิบัติการ ระบบฐานข้อมูล และอุปกรณ์เครือข่าย เทียบกับมาตรฐานที่กำหนดไว้หรือมาตรฐานสากล รวมทั้ง แจ้งเตือนการตั้งค่าที่ไม่ปลอดภัยไปยังผู้ที่เกี่ยวข้อง</t>
  </si>
  <si>
    <t>การบริหารจัดการการเปลี่ยนแปลง (change management)</t>
  </si>
  <si>
    <t>D2.8 #5</t>
  </si>
  <si>
    <t>8.2 #1</t>
  </si>
  <si>
    <t xml:space="preserve">มีการกำหนดกระบวนการบริหารจัดการการเปลี่ยนแปลงอย่างเป็นลายลักษณ์อักษรเพื่อควบคุมการเปลี่ยนแปลงโครงสร้างพื้นฐานด้าน IT ระบบ IT และขั้นตอนการปฏิบัติงานที่อาจส่งผลกระทบต่อความมั่นคงปลอดภัย  </t>
  </si>
  <si>
    <t>1. สัมภาษณ์ผู้บริหารด้าน IT เกี่ยวกับกระบวนการบริหารจัดการการเปลี่ยนแปลง การร้องขอการแก้ไขเปลี่ยนแปลงและขั้นตอนปฏิบัติในการบริหารจัดการการเปลี่ยนแปลง
2. สอบทาน "ขั้นตอนปฏิบัติในการบริหารจัดการการเปลี่ยนแปลง" เพื่อให้มั่นใจว่ามีการกำหนดกระบวนการ หรือ ขั้นตอนการปฏิบัติงานที่เหมาะสมในกรณีของการเปลี่ยนแปลงขั้นตอนการปฏิบัติงาน หรือ มีการเปลี่ยนแปลงโครงสร้างระบบงานอย่างเป็นลายลักษณ์อักษร</t>
  </si>
  <si>
    <t>D2.8 #6</t>
  </si>
  <si>
    <t>8.2 #2</t>
  </si>
  <si>
    <t>มีการกำหนดหลักเกณฑ์การจัดประเภทการเปลี่ยนแปลงตามระดับความสำคัญหรือความจำเป็นเร่งด่วน และกำหนดขั้นตอนในการเปลี่ยนแปลงแต่ละประเภทเช่น  
    (1) การเปลี่ยนแปลงมาตรฐานที่ได้รับอนุมัติเป็นการทั่วไป (standard change)
    (2) การเปลี่ยนแปลงที่ต้องขออนุมัติตามกระบวนการปกติ (normal change)
    (3) การเปลี่ยนแปลงที่ต้องดำเนินการอย่างเร่งด่วน (emergency change)</t>
  </si>
  <si>
    <t>1. สัมภาษณ์ผู้บริหารด้าน IT เกี่ยวกับการกำหนดหลักเกณฑ์การจัดประเภทการเปลี่ยนแปลงตามระดับความสำคัญหรือความจำเป็นเร่งด่วนโดยคำนึงถึงผลกระทบจากความเสี่ยงของการเปลี่ยนแปลง และ กำหนดขั้นตอนสำหรับการเปลี่ยนแปลงแต่ละประเภทเพื่อให้การเปลี่ยนแปลงได้รับการดำเนินการในลักษณะที่เป็นแผนการ เช่น 
    (1) การเปลี่ยนแปลงมาตรฐานที่ได้รับอนุมัติเป็นการทั่วไป (standard change)
    (2) การเปลี่ยนแปลงที่ต้องขออนุมัติตามกระบวนการปกติ (normal change)
    (3) การเปลี่ยนแปลงที่ต้องดำเนินการอย่างเร่งด่วน (emergency change)
2. สอบทาน "ขั้นตอนปฏิบัติในการบริหารจัดการการเปลี่ยนแปลง" เพื่อให้มั่นใจว่ามีการกำหนดหลักเกณฑ์การจัดประเภทการเปลี่ยนแปลงตามระดับความสำคัญหรือความจำเป็นเร่งด่วน รวมถึงวิธีปฏิบัติหรือขั้นตอนในการดำเนินการจัดการการเปลี่ยนแปลงแต่ละประเภท อย่างเหมาะสม</t>
  </si>
  <si>
    <t>D2.8 #7</t>
  </si>
  <si>
    <t>8.2 #3</t>
  </si>
  <si>
    <t>มีการกำหนดคณะกรรมการหรือผู้บริหารที่ทำหน้าที่อนุมัติการเปลี่ยนแปลงแต่ละประเภท</t>
  </si>
  <si>
    <t>1. สัมภาษณ์ผู้บริหารด้าน IT เกี่ยวกับการกำหนดคณะกรรมการหรือผู้บริหารที่ทำหน้าที่อนุมัติการเปลี่ยนแปลงแต่ละประเภท เช่น
    (1) การเปลี่ยนแปลงมาตรฐานที่ได้รับอนุมัติเป็นการทั่วไป (standard change)
    (2) การเปลี่ยนแปลงที่ต้องขออนุมัติตามกระบวนการปกติ (normal change)
    (3) การเปลี่ยนแปลงที่ต้องดำเนินการอย่างเร่งด่วน (emergency change)
2. สอบทาน "ขั้นตอนปฏิบัติในการบริหารจัดการการเปลี่ยนแปลง" เพื่อให้มั่นใจว่ามีการกำหนดอำนาจหน้าที่ในการอนุมัติการเปลี่ยนแปลงแต่ละประเภทอย่างเหมาะสม</t>
  </si>
  <si>
    <t>D2.8 #8</t>
  </si>
  <si>
    <t>8.2 #4</t>
  </si>
  <si>
    <t>มีการแบ่งแยกหน้าที่ (segregation of duties) ผู้ที่เกี่ยวข้องในกระบวนการการเปลี่ยนแปลง เพื่อไม่ให้บุคคลใดบุคคลหนึ่งสามารถปฏิบัติงานได้ตั้งแต่เริ่มต้นจนจบกระบวนการการเปลี่ยนแปลง เช่น ผู้มีสิทธิร้องขอ ผู้ที่มีอำนาจในการอนุมัติการเปลี่ยนแปลง ผู้ที่สามารถดำเนินการเปลี่ยนแปลงระบบ เป็นต้น</t>
  </si>
  <si>
    <t xml:space="preserve">1. สัมภาษณ์ ผู้บริหารด้าน IT เพื่อให้มั่นใจว่ามีการแบ่งแยกหน้าที่ของผู้ปฏิบัติงานอย่างชัดเจน เพื่อไม่ให้บุคคลใดบุคคลหนึ่งสามารถปฏิบัติงานได้ตั้งแต่เริ่มต้นจนจบกระบวนการการเปลี่ยนแปลง เช่น ผู้มีสิทธิร้องขอ ผู้ที่มีอำนาจในการอนุมัติ การเปลี่ยนแปลง ผู้ที่สามารถดำเนินการเปลี่ยนแปลงระบบ เป็นต้น
2. สอบทาน "ขั้นตอนปฏิบัติในการบริหารจัดการการเปลี่ยนแปลง" เพื่อให้มั่นใจว่า มีการระบุถึงบทบาทหน้าที่สำหรับกระบวนการบริหารจัดการการเปลี่ยนแปลง  เพื่อไม่ให้บุคคลใดบุคคลหนึ่งสามารถปฏิบัติงานได้ตั้งแต่เริ่มต้นจนจบกระบวนการการเปลี่ยนแปลง เช่น ผู้ที่มีสิทธิร้องขอ ผู้มีอำนาจอนุมัติการเปลี่ยนแปลง ผู้ปฏิบัติงานด้านเทคนิคเพื่อดำเนินการเปลี่ยนแปลง เป็นต้น </t>
  </si>
  <si>
    <t>D2.8 #9</t>
  </si>
  <si>
    <t>8.2 #5</t>
  </si>
  <si>
    <t>จัดให้มีคำขอการเปลี่ยนแปลง (change request) และการอนุมัติการเปลี่ยนแปลงอย่างเป็นลายลักษณ์อักษร เพื่อเป็นหลักฐานแสดงให้เห็นว่าการเปลี่ยนแปลงได้ผ่านการพิจารณาจากเจ้าของข้อมูล เจ้าของระบบ หรือผู้มีอำนาจตามสิทธิที่กำหนดไว้ โดยคำขอการเปลี่ยนแปลงควรระบุเหตุผลความจำเป็นและผลกระทบที่อาจเกิดขึ้นจากการเปลี่ยนแปลง</t>
  </si>
  <si>
    <t>1. สุ่มสอบทาน log การเปลี่ยนแปลงบนระบบเปรียบเทียบกับ เอกสารคำขอการเปลี่ยนแปลง (change request) เพื่อให้มั่นใจว่าการเปลี่ยนแปลงที่เกิดขึ้นแต่ละครั้งมีการจัดทำเอกสารคำขอการเปลี่ยนแปลง
2. สุ่มสอบทาน "เอกสารคำขอการเปลี่ยนแปลงระบบสารสนเทศ" เพื่อพิจารณาว่า
    (1) มีการบันทึกรายละเอียดคำขอที่มีการระบุถึง เหตุผล ความจำเป็น และผลการประเมินความเสี่ยง หรือผลกระทบที่อาจเกิดขึ้นจากการเปลี่ยนแปลง โดยในกรณีที่มีผลข้างเคียงที่อาจเกิดขึ้น มีการบันทึกวิธีการควบคุมป้องกันอย่างเหมาะสม
    (2) มีการอนุมัติการร้องขอโดยผู้ที่มีอำนาจอย่างเหมาะสม</t>
  </si>
  <si>
    <t>D2.8 #10</t>
  </si>
  <si>
    <t>8.2 #6</t>
  </si>
  <si>
    <t>จัดให้มีระบบหรือทะเบียนในการจัดเก็บคำขอเปลี่ยนแปลงและเอกสารรายละเอียดที่เกี่ยวข้อง เพื่อใช้ควบคุมการปฏิบัติงานตั้งแต่ต้นจนจบกระบวนการ และสามารถใช้ในการติดตามและสอบทานการปฏิบัติงาน</t>
  </si>
  <si>
    <t>1. สอบทานการจัดเก็บคำขอเปลี่ยนแปลงและเอกสารรายละเอียดที่เกี่ยวข้อง เพื่อใช้ควบคุมการปฏิบัติงานตั้งแต่ต้นจนจบกระบวนการ และสามารถใช้ในการติดตามและสอบทานการปฏิบัติงาน โดยมีเนื้อหาครอบคลุมอย่างน้อย ดังนี้
    (1) ประเภทของการเปลี่ยนแปลง
    (2) สถานะของการเปลี่ยนแปลง
    (3) เรื่องที่จะขอเปลี่ยนแปลง
    (4) การประเมินความเสี่ยงและผลกระทบจากการเปลี่ยนแปลง
    (5) การอนุมัติจากผู้มีอำนาจ
    (6) ผู้ที่รับผิดชอบ
    (7) วันที่รับคำร้องและวันที่คาดว่าจะแล้วเสร็จ</t>
  </si>
  <si>
    <t>D2.8 #11</t>
  </si>
  <si>
    <t>8.2 #7</t>
  </si>
  <si>
    <t>กรณีที่การเปลี่ยนแปลงส่งผลกระทบต่อการปฏิบัติงาน ควรมีการสื่อสารให้ผู้เกี่ยวข้องรับทราบการเปลี่ยนแปลงเพื่อให้สามารถปฏิบัติงานได้อย่างถูกต้อง</t>
  </si>
  <si>
    <t>1. สอบทานหลักฐานการสื่อสารกรณีที่การเปลี่ยนแปลงมีผลกระทบต่อการปฏิบัติงานให้กับบุคคลที่เกี่ยวข้องได้รับทราบ ทั้งภายในและภายนอก เช่น จดหมายเวียนหรือการสื่อสารผ่านอีเมล การจัดประชุม การจัดอบรม การทำ workshop การประกาศผ่านเว็บไซต์ของบริษัท เพื่อให้มั่นใจว่ามีการสื่อสารการเปลี่ยนแปลงที่สำคัญให้ผู้ที่ได้รับผลกระทบจากการเปลี่ยนแปลงได้รับทราบ</t>
  </si>
  <si>
    <t>D2.8 #12</t>
  </si>
  <si>
    <t>8.2 #8</t>
  </si>
  <si>
    <t>จัดให้มีแผนการถอยกลับสู่สภาพเดิม (Rollback plan) หากเกิดข้อผิดพลาดจากการเปลี่ยนแปลง เช่น การจัดเก็บเวอร์ชันของระบบก่อนการเปลี่ยนแปลงไว้ เป็นต้น</t>
  </si>
  <si>
    <t>1. สอบทาน “ขั้นตอนปฏิบัติในการเปลี่ยนแปลง (Change management processes)” เพื่อให้มั่นใจว่ามีแผนการถอยกลับสู่สภาพเดิม (Rollback plan)  หากเกิดข้อผิดพลาดจากการเปลี่ยนแปลง เช่น การจัดเก็บเวอร์ชันของระบบก่อนการเปลี่ยนแปลงไว้ เป็นต้น
2. สุ่มสอบทาน “เอกสารคำร้อง และ เอกสารประกอบการแก้ไขเปลี่ยนแปลงระบบสารสนเทศ” เพื่อให้มั่นใจว่ามีการกำหนด แผนการถอยกลับสู่สภาพเดิม (Rollback plan) ในกรณีเกิดความผิดพลาด
3. สังเกตการณ์กระบวนการจัดเก็บเวอร์ชันของระบบก่อนการเปลี่ยนแปลง เพื่อรองรับกรณีเกิดข้อผิดพลาดจากการเปลี่ยนแปลง</t>
  </si>
  <si>
    <t>D2.8 #13</t>
  </si>
  <si>
    <t>8.2 #9</t>
  </si>
  <si>
    <t>กรณีการเปลี่ยนแปลงที่ต้องดำเนินการอย่างเร่งด่วน (emergency change) ควรจัดให้มีกระบวนการในการพิจารณาความเสี่ยงและผลกระทบ รวมถึงขออนุมัติจากผู้บริหารที่ได้รับมอบหมายให้สามารถตัดสินใจได้กรณีเร่งด่วน โดยภายหลังดำเนินการให้มีการรายงานผู้บริหารที่เกี่ยวข้อง และคณะกรรมการบริหารจัดการการเปลี่ยนแปลง (change advisory board : CAB) (ถ้ามี) รับทราบโดยเร็ว</t>
  </si>
  <si>
    <t>1. สอบทาน "ขั้นตอนปฏิบัติในการเปลี่ยนแปลง " เพื่อให้มั่นใจว่ามีขั้นตอนรองรับในกรณีที่ต้องมีการเปลี่ยนแปลงอย่างเร่งด่วน โดยพิจารณาถึงความเสี่ยงและผลกระทบ
2. สุ่มสอบทาน "คำขอการแก้ไขเปลี่ยนแปลง ประเภทแก้ไขเปลี่ยนแปลงฉุกเฉิน (emergency change)" เพื่อพิจารณาว่ามีกระบวนการพิจารณาความเสี่ยงและผลกระทบ รวมถึงขออนุมัติจากผู้บริหารที่ได้รับมอบหมายให้สามารถตัดสินใจได้กรณีเร่งด่วน โดยภายหลังดำเนินการ ให้มีการรายงานผู้บริหารที่เกี่ยวข้อง และคณะกรรมการบริหารจัดการการเปลี่ยนแปลง (change advisory board : CAB) (ถ้ามี) รับทราบโดยเร็ว</t>
  </si>
  <si>
    <t>D2.8 #14</t>
  </si>
  <si>
    <t>8.2 #10</t>
  </si>
  <si>
    <t>มีการกำหนดบทบาทหน้าที่และความรับผิดชอบของคณะกรรมการบริหารจัดการการเปลี่ยนแปลง (change advisory board : CAB) ซึ่งควรประกอบด้วยผู้บริหารจากหน่วยงาน IT หน่วยงานธุรกิจ และหน่วยงานผู้ใช้งานที่เกี่ยวข้อง เพื่อทำหน้าที่พิจารณาเหตุผลความจำเป็นและประเมินผลกระทบก่อนอนุมัติให้ดำเนินการเปลี่ยนแปลง เพื่อป้องกันการแก้ไขเปลี่ยนแปลงโดยไม่ได้รับอนุญาตและไม่ให้เกิดผลกระทบที่อาจเกิดกับระบบที่เกี่ยวข้อง นอกจากนี้ CAB ควรมีการติดตามผลหลังการเปลี่ยนแปลงระบบ (post implementation review) เพื่อให้มั่นใจได้ว่าการเปลี่ยนแปลงนั้นเป็นไปตามวัตถุประสงค์ที่กำหนด</t>
  </si>
  <si>
    <t>1. สอบทาน รายชื่อสมาชิกของคณะกรรมการบริหารจัดการการเปลี่ยนแปลง (change advisory board : CAB) เพื่อให้มั่นใจว่าสมาชิกของคณะกรรมการบริหารจัดการการเปลี่ยนแปลงประกอบไปด้วยสมาชิกอย่างน้อย ดังนี้
    (1) หน่วยงาน IT 
    (2) หน่วยงานธุรกิจ
    (3) หน่วยงานผู้ใช้งานที่เกี่ยวข้อง
2. สอบทาน เอกสารแต่งตั้งที่คณะกรรมการบริหารจัดการการเปลี่ยนแปลง หรือเอกสารที่แสดงถึงบทบาทหน้าที่ของคณะกรรมการบริหารจัดการการเปลี่ยนแปลง เพื่อให้มั่นใจว่า บทบาทหน้าที่ของ คณะกรรมการบริหารจัดการการเปลี่ยนแปลงครอบคลุมถึงการพิจารณาเหตุผลความจำเป็นและประเมินผลกระทบก่อนอนุมัติให้ดำเนินการเปลี่ยนแปลง เพื่อป้องกันการแก้ไขเปลี่ยนแปลงโดยไม่ได้รับอนุญาตและไม่ให้เกิดผลกระทบที่อาจเกิดกับระบบที่เกี่ยวข้อง นอกจากนี้ ผู้บริหารที่ได้รับมอบหมายหรือ CAB จัดให้มีการติดตามผลหลังการเปลี่ยนแปลงระบบ (post implementation review) เพื่อให้มั่นใจได้ว่าการเปลี่ยนแปลงนั้นเป็นไปตามวัตถุประสงค์ที่กำหนด</t>
  </si>
  <si>
    <t>การบริหารจัดการขีดความสามารถของระบบ IT (capacity management)</t>
  </si>
  <si>
    <t>D2.8 #15</t>
  </si>
  <si>
    <t>8.3 #1</t>
  </si>
  <si>
    <t>มีการกำหนดมาตรฐานและระเบียบวิธีปฏิบัติในการบริหารจัดการขีดความสามารถของระบบ เพื่อประเมินและติดตามดูแลความเพียงพอของโครงสร้างพื้นฐานด้าน IT ที่ครอบคลุมถึงระบบคอมพิวเตอร์ ระบบฐานข้อมูล ระบบเครือข่ายสื่อสาร และระบบสาธารณูปโภคที่เกี่ยวข้องกับงานด้าน IT</t>
  </si>
  <si>
    <t xml:space="preserve">1. สัมภาษณ์ ผู้บริหารด้าน IT เกี่ยวกับกระบวนการบริหารจัดการขีดความสามารถของระบบ เพื่อประเมินและติดตามดูแลความเพียงพอของโครงสร้างพื้นฐานด้าน IT ที่ครอบคลุมถึงระบบคอมพิวเตอร์ ระบบฐานข้อมูล ระบบเครือข่ายสื่อสาร และระบบสาธารณูปโภคที่เกี่ยวข้องกับงานด้าน IT
2. สอบทาน “วิธีปฏิบัติในการบริหารจัดการขีดความสามารถของระบบ“ เพื่อให้มั่นใจว่ามีการประเมินและติดตามดูแลความเพียงพอของโครงสร้างพื้นฐานด้าน IT ที่ครอบคลุมถึงระบบคอมพิวเตอร์ ระบบฐานข้อมูล ระบบเครือข่ายสื่อสาร และระบบสาธารณูปโภคที่เกี่ยวข้องกับงานด้าน IT </t>
  </si>
  <si>
    <t>D2.8 #16</t>
  </si>
  <si>
    <t>8.3 #2</t>
  </si>
  <si>
    <t>มีการประเมินแนวโน้มการใช้ทรัพยากรด้าน IT (forecasting) โดยคำนึงถึงปริมาณธุรกรรมและปริมาณลูกค้าในภาวะปกติและภาวะวิกฤตที่อาจจะเกิดขึ้น เพื่อวางแผนรองรับการใช้งานในอนาคต (capacity planning) โดยครอบคลุมทั้งระบบหลักและระบบสำรอง</t>
  </si>
  <si>
    <t xml:space="preserve">1. สัมภาษณ์ ผู้บริหารด้าน IT เกี่ยวกับประบวนการประเมินแนวโน้มการใช้ทรัพยากรด้าน IT (forecasting)
2. สอบทานเอกสาร "การประเมินแนวโน้มการใช้ทรัพยากรด้าน IT (forecasting)" ทั้งระบบหลักและระบบสำรอง เพื่อให้แน่ใจว่ามีการจัดทำแผนรองรับการใช้งานในอนาคต (capacity planning)  ครอบคลุมทั้งระบบหลักและระบบสำรอง โดยคำนึงถึงปริมาณธุรกรรมและปริมาณลูกค้า ในภาวะปกติและภาวะวิกฤตที่อาจจะเกิดขึ้น ให้มีความสามารถเพียงพอเพื่อตอบสนองความต้องการทั้งในปัจจุบันและอนาคต </t>
  </si>
  <si>
    <t>D2.8 #17</t>
  </si>
  <si>
    <t>8.3 #3</t>
  </si>
  <si>
    <t>มีกระบวนการหรือเครื่องมือติดตามตัวชี้วัดการใช้ทรัพยากรด้าน IT (threshold and trigger) เช่น ประสิทธิภาพการทำงาน (performance) ความหน่วง (latency) ขีดความสามารถ (capacity) และปริมาณทรัพยากรที่ใช้งาน (utilization) เป็นต้น เพื่อให้เจ้าหน้าที่ที่เกี่ยวข้องสามารถรับทราบปัญหาอย่างทันท่วงที และดำเนินการรับมืออย่างเหมาะสม</t>
  </si>
  <si>
    <t>1. สัมภาษณ์ ผู้บริหารด้าน IT เกี่ยวกับการกำหนดตัวชี้วัดการใช้ทรัพยากรด้าน IT (threshold and trigger) เช่น ประสิทธิภาพการทำงาน (performance) ความหน่วง (latency) ขีดความสามารถ (capacity) และปริมาณทรัพยากรที่ใช้งาน (utilization)
2. สอบทานการกำหนดค่าตัวชี้วัดการใช้ทรัพยากรด้าน IT (threshold and trigger) สำหรับเครื่องแม่ข่าย อุปกรณ์เครือข่าย รวมทั้งการแจ้งเตือนเมื่อมีการใช้ทรัพยากรด้าน IT ถึงตัวชี้วัดที่กำหนดไว้ เพื่อให้เจ้าหน้าที่ที่เกี่ยวข้องสามารถรับทราบปัญหาอย่างทันท่วงที และดำเนินการรับมืออย่างเหมาะสม</t>
  </si>
  <si>
    <t>D2.8 #18</t>
  </si>
  <si>
    <t>8.3 #4</t>
  </si>
  <si>
    <t>มีการจัดทำรายงานความเพียงพอของทรัพยากรด้าน IT นำเสนอต่อคณะกรรมการที่ได้รับมอบหมาย หรือผู้บริหารระดับสูงที่เกี่ยวข้องรับทราบอย่างสม่ำเสมอ เพื่อให้มีการกำกับดูแลความพร้อมใช้และความเพียงพอของระบบในการรองรับการให้บริการทางธุรกิจได้อย่างต่อเนื่อง และสามารถพิจารณาแนวทางลดความเสี่ยงได้อย่างทันการณ์</t>
  </si>
  <si>
    <t>1. สอบทาน “รายงานความเพียงพอของทรัพยากรด้าน IT” เพื่อให้มั่นใจว่ามีการรายงานเพียงพอของทรัพยากรด้าน IT ต่อคณะกรรมการที่ได้รับมอบหมาย หรือผู้บริหารระดับสูงที่เกี่ยวข้องรับทราบอย่างสม่ำเสมอ และ เพื่อให้มีการกำกับดูแลความพร้อมใช้และความเพียงพอของระบบในการรองรับ การให้บริการทางธุรกิจได้อย่างต่อเนื่อง และสามารถพิจารณาแนวทางลดความเสี่ยงได้อย่างทันการณ์</t>
  </si>
  <si>
    <t>การรักษาความมั่นคงปลอดภัยของเครื่องแม่ข่าย (server) และอุปกรณ์ที่ใช้ปฏิบัติงาน (endpoint)</t>
  </si>
  <si>
    <t>D2.8 #19</t>
  </si>
  <si>
    <t>8.4 #1(1)</t>
  </si>
  <si>
    <t>มีกระบวนการ หรือเครื่องมือในการควบคุมและติดตามไม่ให้มีการติดตั้งซอฟต์แวร์ที่ไม่ได้รับอนุญาต</t>
  </si>
  <si>
    <t>1. สัมภาษณ์ ผู้บริหารด้าน IT หรือ IT Security  เกี่ยวกับการกำหนดมาตรการควบคุมและติดตามไม่ให้มีการติดตั้งหรือการดำเนินงานของซอฟต์แวร์ที่ไม่ได้รับอนุญาต และมีการบริหารจัดการการติดตั้งซอฟต์แวร์บนระบบอย่างมั่นคงและปลอดภัย
2. สอบทาน กระบวนหรือเครื่องมือที่ใช้ควบคุมการติดตั้งซอฟต์แวร์บนเครื่องแม่ข่าย และอุปกรณ์ที่ใช้ในการปฏิบัติงานเพื่อให้มั่นใจว่าไม่มีการติดตั้งหรือการดำเนินงานของซอฟต์แวร์ที่ไม่ได้รับอนุญาต และมีการบริหารจัดการการติดตั้งซอฟต์แวร์บนระบบอย่างมั่นคงและปลอดภัย
3. สุ่มสอบทานการติดตั้งซอฟต์แวร์บนเครื่องแม่ข่าย และอุปกรณ์ที่ใช้ในการปฏิบัติงานเพื่อให้มั่นใจว่าไม่มีการติดตั้งหรือการดำเนินงานของซอฟต์แวร์ที่ไม่ได้รับอนุญาต และมีการบริหารจัดการการติดตั้งซอฟต์แวร์บนระบบอย่างมั่นคงและปลอดภัย
(M4) 4. สอบทาน “หลักฐานการสอบทานการติดตั้งซอฟต์แวร์บนเครื่องแม่ข่าย และอุปกรณ์ที่ใช้ในการปฏิบัติงาน" โดยบุคคลหรือหน่วยงานที่มีความเป็นอิสระจากหน่วยงานที่ทำหน้าที่ปฏิบัติงาน เพื่อให้มั่นใจว่าไม่มีการติดตั้งหรือการดำเนินงานของซอฟต์แวร์ที่ไม่ได้รับอนุญาต รวมทั้งมีการบริหารจัดการการติดตั้งซอฟต์แวร์บนระบบอย่างมั่นคงและปลอดภัยอย่างสม่ำเสมอ
(M5) 5. สังเกตการณ์การใช้เครื่องมืออัตโนมัติ (automated tools) ในการสอบทานการติดตั้งหรือการดำเนินงานของซอฟต์แวร์ที่ไม่ได้รับอนุญาตหรือซอฟต์แวร์ที่บริษัทไม่มีลิขสิทธิ์บนเครื่องแม่ข่าย และอุปกรณ์ที่ใช้ในการปฏิบัติงานพร้อมแจ้งเตือนไปยังผู้ที่เกี่ยวข้องให้รับทราบทันที</t>
  </si>
  <si>
    <t>ผู้ประกอบธุรกิจไม่มีกระบวนการหรือเครื่องมือในการควบคุมและติดตามไม่ให้มีการติดตั้งซอฟต์แวร์ที่ไม่ได้รับอนุญาต</t>
  </si>
  <si>
    <t>ผู้ประกอบธุรกิจมีกระบวนการหรือเครื่องมือในการควบคุมในการติดตั้งซอฟต์แวร์ที่ไม่ได้รับอนุญาต แต่ยังไม่มีกระบวนการสอบทานการติดตั้งซอฟต์แวร์ที่ไม่ได้รับอนุญาตหรือยังมีการติดตั้งซอฟต์แวร์ที่ไม่ได้รับอนุญาตบนเครื่องแม่ข่าย และอุปกรณ์ที่ใช้ในการปฏิบัติงาน</t>
  </si>
  <si>
    <t>ผู้ประกอบธุรกิจมีกระบวนการหรือเครื่องมือในการควบคุมและติดตามไม่ให้มีการติดตั้งซอฟต์แวร์ที่ไม่ได้รับอนุญาต รวมทั้ง ไม่พบการติดตั้งซอฟต์แวร์ที่ไม่ได้รับอนุญาตบนเครื่องแม่ข่าย และอุปกรณ์ที่ใช้ในการปฏิบัติงาน</t>
  </si>
  <si>
    <t>มีการจัดทำตาม Maturity Level 3  รวมถึงมีการสอบทานการติดตั้งซอฟต์แวร์บนเครื่องแม่ข่าย และอุปกรณ์ที่ใช้ในการปฏิบัติงาน โดยบุคคลหรือหน่วยงานที่มีความเป็นอิสระจากหน่วยงานที่ทำหน้าที่ปฏิบัติงาน เพื่อให้มั่นใจว่าไม่มีการติดตั้งซอฟต์แวร์ที่ไม่ได้รับอนุญาตอย่างสม่ำเสมอ</t>
  </si>
  <si>
    <t>มีการจัดทำตาม Maturity Level 4 รวมถึงมีการใช้เครื่องมืออัตโนมัติ (automated monitoring tools) เพื่อสอบทานการติดตั้งซอฟต์แวร์ที่ไม่ได้รับอนุญาตหรือซอฟต์แวร์ที่บริษัทไม่มีลิขสิทธิ์บนเครื่องแม่ข่าย และอุปกรณ์ที่ใช้ในการปฏิบัติงานพร้อมแจ้งเตือนไปยังผู้ที่เกี่ยวข้องให้รับทราบทันที</t>
  </si>
  <si>
    <t>D2.8 #20</t>
  </si>
  <si>
    <t>8.4 #1(2)</t>
  </si>
  <si>
    <t>มีการติดตั้งเครื่องมือในการป้องกันและตรวจจับโปรแกรมไม่ประสงค์ดี เช่น anti-virus, anti-malware และ intrusion prevention system เป็นต้น รวมทั้ง มีการปรับปรุงเครื่องมือในการป้องกันและตรวจจับโปรแกรมไม่ประสงค์ดีให้เป็นปัจจุบัน (update) และเท่าทันภัยคุกคามใหม่อย่างสม่ำเสมอ</t>
  </si>
  <si>
    <t>1. สัมภาษณ์ ผู้บริหารด้าน IT หรือ IT Security เกี่ยวกับมาตรการรักษาความปลอดภัยของเครื่องแม่ข่าย และอุปกรณ์ที่ใช้ในการปฏิบัติงาน เพื่อให้สามารถป้องกันและตรวจจับโปรแกรมไม่ประสงค์ดี (malware) และภัยคุกคามทางไซเบอร์ รวมทั้งมีการสร้างความตระหนักแก่ผู้ใช้งานอย่างเหมาะสม
2. สุ่มสอบทาน "การติดตั้งเครื่องมือในการป้องกันและตรวจจับโปรแกรมไม่ประสงค์ดี" เปรียบเทียบกับ "ทะเบียนทรัพย์สินสารสนเทศ" เพื่อให้มั่นใจว่ามีการติดตั้งเครื่องมือในการป้องกันและตรวจจับโปรแกรมไม่ประสงค์ดี เช่น anti-virus, anti-malware และ IPS เป็นต้น บนเครื่องแม่ข่าย และอุปกรณ์ที่ใช้ในการปฏิบัติ โดยพิจารณาดังนี้
    (1) มีการติดตั้งเครื่องมือในการป้องกันและตรวจจับโปรแกรมไม่ประสงค์ดี
    (2) มีการปรับปรุงเวอร์ชันของเครื่องมือในการป้องกันและตรวจจับโปรแกรมไม่ประสงค์ดีให้เป็นปัจจุบัน
    (3) มีการปรับปรุงฐานข้อมูล (virus signatures) ให้เป็นปัจจุบัน
    (4) มีการป้องกันไม่ใช้ผู้ใช้งานสามารถหยุดการทำงานของเครื่องมือในการป้องกันและตรวจจับโปรแกรมไม่ประสงค์ดี
3. สอบทานหลักฐานการใช้ "มาตรการทดแทนหากไม่สามารถติดตั้งเครื่องมือได้" เพื่อให้มั่นใจว่ามีการรักษาความปลอดภัยต่อครื่องแม่ข่าย และอุปกรณ์ที่ใช้ในการปฏิบัติงาน ในกรณีที่ไม่สามารถติดตั้งเครื่องมือการป้องกันและตรวจจับโปรแกรมไม่ประสงค์ดีได้</t>
  </si>
  <si>
    <t>D2.8 #21</t>
  </si>
  <si>
    <t>8.4 #1(3)</t>
  </si>
  <si>
    <t>มีการควบคุมการใช้งานหรือการเชื่อมต่อสื่อบันทึกข้อมูลพกพา (removable media) เช่น กำหนดแนวทางการควบคุม การใช้งาน universal serial bus (USB) หรือ external hard disk เป็นต้น</t>
  </si>
  <si>
    <t xml:space="preserve">1. สัมภาษณ์ ผู้บริหารด้าน IT หรือ IT Security เกี่ยวกับ กระบวนการควบคุมการใช้งานหรือการเชื่อมต่อสื่อบันทึกข้อมูลพกพา (removable media)
2. สอบทาน "การตั้งค่าเพื่อจำกัดการใช้งานสื่อบันทึกข้อมูลพกพา" หรือ "การตั้งค่าความปลอดภัยกรณีที่อนุญาตให้ใช้สื่อบันทึกข้อมูลพกพา" เพื่อให้มั่นใจได้ว่า มีการควบคุมความเสี่ยงจากการใช้งานอย่างเพียงพอ 
</t>
  </si>
  <si>
    <t>D2.8 #22</t>
  </si>
  <si>
    <t>8.4 #2</t>
  </si>
  <si>
    <t>จัดให้มีการควบคุมป้องกันทรัพย์สินด้าน IT ประเภทฮาร์ดแวร์ระหว่างที่ไม่มีผู้ใช้งาน (unattended user equipment) ให้มีความปลอดภัย โดยครอบคลุมการดำเนินการอย่างน้อย ดังนี้
    (1) ควบคุมเอกสาร อุปกรณ์ที่ใช้ปฏิบัติงาน หรือสื่อบันทึกข้อมูลต่าง ๆ ที่มีการจัดเก็บข้อมูลสำคัญหรือข้อมูลลับ ไม่ให้วางทิ้งไว้บนโต๊ะทำงานหรือสถานที่ไม่ปลอดภัยในขณะที่ไม่ได้ใช้งาน (clear desk)
    (2) ควบคุมหน้าจอคอมพิวเตอร์ไม่ให้มีข้อมูลสำคัญปรากฏในขณะที่ไม่ได้ใช้งาน (clear screen) เช่น การตัดออกจากระบบ (session time out) หรือการล็อคหน้าจอ (lock screen) อัตโนมัติ เมื่อไม่มีการใช้งานถึงระยะเวลาที่กำหนด เป็นต้น</t>
  </si>
  <si>
    <t>1. สัมภาษณ์ ผู้บริหารด้าน IT หรือ IT Security เกี่ยวกับการควบคุมป้องกันทรัพย์สินด้าน IT ประเภทฮาร์ดแวร์ระหว่างที่ไม่มีผู้ใช้งาน (unattended user equipment)
2. สอบทาน "นโยบายการปฏิบัติงานทางด้านสารสนเทศ" เพื่อให้มั่นใจว่ามีการกำหนดให้มีการควบคุมป้องกันทรัพย์สินด้าน IT ประเภทฮาร์ดแวร์ระหว่างที่ไม่มีผู้ใช้งาน (unattended user equipment) ให้มีความปลอดภัย โดยครอบคลุมการดำเนินการอย่างน้อย ดังนี้
    (1) ควบคุมเอกสาร อุปกรณ์ที่ใช้ปฏิบัติงาน หรือสื่อบันทึกข้อมูลต่าง ๆ ที่มีการจัดเก็บข้อมูลสำคัญหรือข้อมูลลับ ไม่ให้วางทิ้งไว้บนโต๊ะทำงานหรือสถานที่ไม่ปลอดภัยในขณะที่ไม่ได้ใช้งาน (clear desk) 
    (2) ควบคุมหน้าจอคอมพิวเตอร์ไม่ให้มีข้อมูลสำคัญปรากฏในขณะที่ไม่ได้ใช้งาน (clear screen) เช่น การตัดออกจากระบบ (session time out) หรือการล็อคหน้าจอ (lock screen) อัตโนมัติ เมื่อไม่มีการใช้งานถึงระยะเวลาที่กำหนด เป็นต้น
3. สอบทาน "การตั้งค่า screen saver/lock screen" บนคอมพิวเตอร์ของผู้ใช้งาน เพื่อให้มั่นใจว่ามีการควบคุมป้องกันทรัพย์สิน IT ประเภทอุปกรณ์ระหว่างที่ไม่มีผู้ใช้งาน
4. สังเกตุการณ์ สถานที่ปฏิบัติงาน เพื่อให้มั่นใจว่า 
   (1) มีการควบคุมไม่ให้วางข้อมูลที่สำคัญทิ้งไว้บนโต๊ะทำงานหรือสถานที่ไม่ปลอดภัยในขณะที่ไม่ได้ใช้งาน (clear desk)
   (2) มีการควบคุมหน้าจอคอมพิวเตอร์ไม่ให้มีข้อมูลสำคัญปรากฏในขณะที่ไม่ได้ใช้งาน (clear screen)</t>
  </si>
  <si>
    <t>D2.8 #23</t>
  </si>
  <si>
    <t>8.4 #3</t>
  </si>
  <si>
    <t>มีการกำหนดมาตรการรักษาความมั่นคงปลอดภัยในการใช้งาน IT  virtualization โดยครอบคลุม hypervisor, host operating system และ guest operating system พร้อมทั้งมีการรักษาความปลอดภัยของข้อมูลที่เกิดจากการใช้ IT  virtualization เช่น virtual machine image และ snapshot เป็นต้น อย่างเหมาะสม</t>
  </si>
  <si>
    <t>1. สัมภาษณ์ ผู้บริหารด้าน IT หรือ IT Security เกี่ยวกับ 
    (1) มาตรการรักษาความมั่นคงปลอดภัยในการใช้งานเทคโนโลยี virtualization โดยครอบคลุม hypervisor, host operating system และ guest operating system
    (2) มาตรการรักษาความปลอดภัยของข้อมูลที่เกิดจากการใช้เทคโนโลยี virtualization เช่น virtual machine image และ snapshot เป็นต้น
2. สุ่มสอบทานเอกสาร "การตั้งค่าความปลอดภัยมาตรฐาน (security hardening)" ของ hypervisor, host operating system และ guest operating system เพื่อให้มั่นใจว่ามีการรักษาความปลอดภัยในการใช้งานเทคโนโลยี virtualization อย่างเหมาะสม รวมทั้งมีการจัดทำ "การตั้งค่าความปลอดภัยมาตรฐาน (security hardening)" เหล่านี้เป็นลักษณ์อักษร และมีการติดตาม ทบทวนอย่างสม่ำเสมอ
3. สุ่มสอบทาน "การรักษาความปลอดภัยของข้อมูลที่เกิดจากการใช้งานเทคโนโลยี virtualization เช่น virtual machine image และ snapshot" เพื่อให้มั่นใจว่ามีการรักษาความปลอดภัยของข้อมูลอย่างเหมาะสม</t>
  </si>
  <si>
    <t>D2.8 #24</t>
  </si>
  <si>
    <t>8.4 #4</t>
  </si>
  <si>
    <t>มีการติดตั้งระบบหรือเครื่องมือตรวจจับภัยคุกคามซึ่งสามารถวิเคราะห์พฤติกรรมผิดปกติ ตรวจจับภัยคุกคาม และจัดเก็บข้อมูลหลักฐาน เพื่อช่วยให้สามารถตอบสนองต่อภัยคุกคามทางไซเบอร์ได้อย่างทันการณ์ เช่น การติดตั้งระบบ endpoint detection &amp; response (EDR) หรือระบบ host-based intrusion prevention system (HIPS) เป็นต้น</t>
  </si>
  <si>
    <t>1. สังเกตการณ์การติดตั้งระบบหรือเครื่องมือตรวจจับภัยคุกคามซึ่งสามารถวิเคราะห์พฤติกรรมผิดปกติ ตรวจจับภัยคุกคาม และจัดเก็บข้อมูลหลักฐานโดยคำนึงถึงการรักษาความถูกต้องครบถ้วนของแหล่งที่มา รวมทั้งประเมินความป็นไปได้ที่จะเกิดเหตุการณ์ผิดปกติด้านความมั่นคงปลอดภัยสารสนเทศ เพื่อช่วยให้สามารถตอบสนองต่อภัยคุกคามทางไซเบอร์ได้อย่างทันการณ์ เช่น การติดตั้งระบบ endpoint detection &amp; response (EDR) หรือระบบ host-based intrusion prevention system (HIPS) เป็นต้น</t>
  </si>
  <si>
    <t>D2.8 #25</t>
  </si>
  <si>
    <t>8.4 #5</t>
  </si>
  <si>
    <t>มีการกำหนดกระบวนการหรือเครื่องมือป้องกันข้อมูลสำคัญรั่วไหล (data leak prevention) จากการส่งข้อมูลออกโดยไม่ได้รับอนุญาตผ่านช่องทางต่าง ๆ เช่น อุปกรณ์พกพาและสื่อบันทึกข้อมูล อีเมล และโปรแกรมการประชุมและสื่อสารผ่านสื่ออิเล็กทรอนิกส์ (online communication tool) เป็นต้น</t>
  </si>
  <si>
    <t>1. สัมภาษณ์ ผู้บริหารด้าน IT หรือ IT Security เกี่ยวกับกระบวนการหรือเครื่องมือป้องกันข้อมูลสำคัญรั่วไหล (data leak prevention)
2. สังเกตการณ์ การใช้งานเครื่องมือเพื่อป้องกันข้อมูลสำคัญรั่วไหล (data leak prevention) จากการส่งข้อมูลออกโดยไม่ได้รับอนุญาตผ่านช่องทางต่าง ๆ เช่น อุปกรณ์พกพาและสื่อบันทึกข้อมูล อีเมล และโปรแกรมการประชุมและสื่อสารผ่านสื่ออิเล็กทรอนิกส์ (online communication tool) เป็นต้น</t>
  </si>
  <si>
    <t>D2.8 #26</t>
  </si>
  <si>
    <t>8.4 #6</t>
  </si>
  <si>
    <t>กรณีที่มีฟังก์ชันให้ปิดการใช้งานพอร์ตการเชื่อมต่อของเครื่องแม่ข่าย และอุปกรณ์ที่ใช้ในการปฏิบัติงาน ให้ปิดพอร์ตการเชื่อมต่อภายนอกทั้งหมด (เช่น พอร์ต USB เป็นต้น) ที่รองรับการเชื่อมต่อกับสื่อบันทึกข้อมูลพกพา (removable media) โดยให้เปิดใช้งานตามความจำเป็นและได้รับอนุมัติโดยผู้มีอำนาจเท่านั้น</t>
  </si>
  <si>
    <t xml:space="preserve">1. สุ่มสอบทาน "การตั้งค่าฟังก์ชันให้ปิดการใช้งานพอร์ตการเชื่อมต่อของเครื่องแม่ข่าย และอุปกรณ์ที่ใช้ในการปฏิบัติงาน ที่รองรับการเชื่อมต่อกับสื่อบันทึกข้อมูลพกพา (removable media)" โดยให้เปิดใช้งานตามความจำเป็นและได้รับอนุมัติโดยผู้มีอำนาจเท่านั้น
2. สุ่มสอบทาน "เอกสารขออนุญาตใช้งานหรือเชื่อมต่อสื่อบันทึกข้อมูลแบบพกพา" เพื่อให้มั่นใจได้ว่า มีขั้นตอนการพิจารณาคำร้องขอ ระยะเวลาการเปิดใช้งาน และการอนุมัติโดยผู้มีอำนาจอย่างเหมาะสม
</t>
  </si>
  <si>
    <t>การกำหนดนโยบายและมาตรการรักษาความปลอดภัยสำหรับการปฏิบัติงานจากเครือข่ายภายนอก (teleworking) การใช้งานอุปกรณ์เคลื่อนที่ (mobile device) และการใช้งานอุปกรณ์ส่วนตัว (bring your own device : BYOD)</t>
  </si>
  <si>
    <t>D2.8 #27</t>
  </si>
  <si>
    <t>8.5 #1(1)</t>
  </si>
  <si>
    <t xml:space="preserve">การปฏิบัติงานจากเครือข่ายภายนอก (teleworking) 
มีมาตรการรักษาความมั่นคงปลอดภัยด้านกายภาพที่เหมาะสม รัดกุมเพียงพอกับขอบเขตการปฏิบัติงาน สำหรับพื้นที่ปฏิบัติงานนอกองค์กร </t>
  </si>
  <si>
    <t>1. สัมภาษณ์ ผู้บริหารด้าน IT หรือ IT Security เกี่ยวกับ มาตรการรักษาความมั่นคงปลอดภัยด้านกายภาพ (physical) สำหรับการปฏิบัติงานจากเครือข่ายภายนอก
2. สอบทาน "แนวทางหรือวิธีการปฏิบัติงานจากเครือข่ายภายนอกบริษัท" เพื่อให้มั่นใจว่ามีการกำหนดมาตรการรักษาความมั่นคงปลอดภัยด้านกายภาพสำหรับพื้นที่ปฏิบัติงานนอกองค์กรที่เหมาะสม รัดกุม เพียงพอกับขอบเขตการปฏิบัติงาน</t>
  </si>
  <si>
    <t>D2.8 #28</t>
  </si>
  <si>
    <t>8.5 #1(2)</t>
  </si>
  <si>
    <t>การปฏิบัติงานจากเครือข่ายภายนอก (teleworking) 
มีการลงทะเบียน และขออนุมัติการปฏิบัติงานจากเครือข่ายภายนอกบริษัทจากผู้มีอำนาจหรือผู้บริหารที่เกี่ยวข้อง</t>
  </si>
  <si>
    <t>1. สัมภาษณ์ ผู้บริหารด้าน IT หรือ IT Security เกี่ยวกับ การขอปฏิบัติงานจากเครือข่ายภายนอก
2. สอบทาน "แนวทางหรือวิธีปฏิบัติการขอปฏิบัติงานจากเครือข่ายภายนอกบริษัท" เพื่อให้มั่นใจว่ามีการกำหนดให้มีการลงทะเบียน และขออนุมัติการปฏิบัติงานจากเครือข่ายภายนอกบริษัทจากผู้มีอำนาจหรือผู้บริหารที่เกี่ยวข้อง
3. สุ่มสอบทาน "บัญชีรายชื่อผู้ปฏิบัติงานจากเครือข่ายภายนอกบริษัท (จากระบบ) " เปรียบเทียบกับ "ใบคำร้องขอปฏิบัติงานจากเครือข่ายภายนอกบริษัท"  เพื่อให้มั่นใจว่ามีการขออนุมัติการปฏิบัติงานจากเครือข่ายภายนอกบริษัทครบถ้วนและสามารถเข้าถึงระบบได้เฉพาะผู้ได้รับอนุมัติเท่านั้น</t>
  </si>
  <si>
    <t>D2.8 #29</t>
  </si>
  <si>
    <t>8.5 #1(3)</t>
  </si>
  <si>
    <t>การปฏิบัติงานจากเครือข่ายภายนอก (teleworking) 
มีการกำหนดสิทธิการเข้าถึงข้อมูลและระบบ IT จากเครือข่ายภายนอกบริษัทเท่าที่จำเป็น พร้อมทั้งมีการทบทวนสิทธิอย่างสม่ำเสมอ</t>
  </si>
  <si>
    <t>1. สอบทาน "แนวทาง หรือวิธีการปฏิบัติงานจากเครือข่ายภายนอกบริษัท" เพื่อให้มั่นใจว่ามีเนื้อหาครอบคลุมถึง
    (1) การกำหนดสิทธิการเข้าถึงข้อมูลและระบบ IT จากเครือข่ายภายนอกบริษัทเท่าที่จำเป็น 
    (2) การทบทวนสิทธิอย่างสม่ำเสมอ
2. สอบทาน "บัญชีรายชื่อผู้ปฏิบัติงานจากเครือข่ายภายนอกบริษัท" เทียบกับ "รายชื่อพนักงานหรือผู้ปฎิบัติงานปัจจุบัน" และ "รายชื่อพนักงานหรือผู้ปฎิบัติงานที่ได้รับอนุญาตให้ปฏิบัติงานจากเครือข่ายภายนอก"  เพื่อให้มั่นใจว่ามีการทบทวน ปรับปรุง และถอดถอนสิทธิการเข้าถึงข้อมูลและระบบ IT จากเครือข่ายภายนอกบริษัทให้มีความเหมาะสมอย่างสม่ำเสมอ</t>
  </si>
  <si>
    <t>D2.8 #30</t>
  </si>
  <si>
    <t>8.5 #1(4)</t>
  </si>
  <si>
    <t>การปฏิบัติงานจากเครือข่ายภายนอก (teleworking) 
มีการยืนยันตัวตน (authentication) พนักงานหรือผู้ปฎิบัติงาน ที่ได้รับอนุญาตให้ปฏิบัติงานจากภายนอกบริษัทด้วยวิธีการที่รัดกุมปลอดภัย เช่น การใช้วิธียืนยันตัวตนแบบหลายปัจจัย (multi-factor authentication : MFA) และการเข้าใช้งานผ่านอุปกรณ์ที่อนุญาตเท่านั้น เป็นต้น</t>
  </si>
  <si>
    <t>1. สัมภาษณ์ ผู้บริหารด้าน IT หรือ IT Security เกี่ยวกับ วิธีการยืนยันตัวตนพนักงานหรือผู้ปฎิบัติงานที่เข้าถึงข้อมูลและระบบ IT จากเครือข่ายภายนอกบริษัท และนโยบายการควบคุมการเข้าถึงที่เกี่ยวข้อง
2. สังเกตการณ์ "กระบวนการยืนยันตัวตนของพนักงานหรือผู้ปฎิบัติงานที่เข้าถึงข้อมูลและระบบ IT จากเครือข่ายภายนอกบริษัท" เพื่อให้มั่นใจว่า มีการยืนยันตัวตน (authentication) ของพนักงานหรือผู้ปฏิบัติงานที่ได้รับอนุญาตให้ปฏิบัติงานจากภายนอกบริษัทด้วยวิธีการที่รัดกุมปลอดภัย เช่น การใช้วิธียืนยันตัวตนแบบหลายปัจจัย (multi-factor authentication : MFA) และการเข้าใช้งานผ่านอุปกรณ์ที่อนุญาตเท่านั้น เป็นต้น</t>
  </si>
  <si>
    <t>D2.8 #31</t>
  </si>
  <si>
    <t>8.5 #1(5)</t>
  </si>
  <si>
    <t xml:space="preserve">การปฏิบัติงานจากเครือข่ายภายนอก (teleworking) 
มีการจัดให้มีมาตรการป้องกันความเสี่ยงจากการใช้อุปกรณ์ที่ใช้ในการปฏิบัติงานจากเครือข่ายภายนอก เป็นช่องทางในการแพร่กระจายของโปรแกรมไม่ประสงค์ดี (malware) และการรั่วไหลของข้อมูลสำคัญ (data breach) </t>
  </si>
  <si>
    <t xml:space="preserve">1. สัมภาษณ์ ผู้บริหารด้าน IT หรือ IT Security เกี่ยวกับมาตรการป้องกันความเสี่ยงจากการใช้อุปกรณ์ที่ใช้ในการปฏิบัติงานจากเครือข่ายภายนอก
2. สอบทาน "แนวทาง หรือวิธีการปฏิบัติงานจากเครือข่ายภายนอกบริษัท" เพื่อให้มั่นใจว่ามีการจัดให้มีมาตรการป้องกันความเสี่ยงจากอุปกรณ์ที่ใช้ในการปฏิบัติงานจากเครือข่ายภายนอกถูกใช้เป็นช่องทางในการแพร่กระจายของโปรแกรมไม่ประสงค์ดี (malware) และการรั่วไหลของข้อมูลสำคัญ (data breach) </t>
  </si>
  <si>
    <t>D2.8 #32</t>
  </si>
  <si>
    <t>8.5 #1(6)</t>
  </si>
  <si>
    <t>การปฏิบัติงานจากเครือข่ายภายนอก (teleworking) 
มีการจัดให้มีมาตรการป้องกันข้อมูลที่เป็นความลับหรือมีความสำคัญ (sensitive data) เช่น การยืนยันตัวตนก่อนใช้งานอุปกรณ์ (lock screen) การเข้ารหัสข้อมูลบนอุปกรณ์ที่ใช้ในการปฏิบัติงาน หรือการลบข้อมูลจากระยะไกล (remote wipe-out) เป็นต้น</t>
  </si>
  <si>
    <t>1. สัมภาษณ์ ผู้บริหารด้าน IT หรือ IT Security เกี่ยวกับมาตรการป้องกันข้อมูลที่เป็นความลับหรือมีความสำคัญ (sensitive data)
2. สอบทาน "แนวทาง หรือวิธีการปฏิบัติงานจากเครือข่ายภายนอกบริษัท" เพื่อให้มั่นใจว่ามีมาตรการป้องกันข้อมูลที่เป็นความลับหรือมีความสำคัญ (sensitive data) 
3. สอบทาน "การตั้งค่าการป้องกันข้อมูลที่เป็นความลับหรือมีความสำคัญ" เพื่อให้มั่นใจว่า มีการตั้งค่าป้องกันข้อมูลที่เป็นความลับหรือมีความสำคัญ (sensitive data) เช่น การยืนยันตัวตนก่อนใช้งานอุปกรณ์ (lock screen) การเข้ารหัสข้อมูลบนอุปกรณ์ที่ใช้ในการปฏิบัติงาน หรือการลบข้อมูลจากระยะไกล (remote wipe-out) เป็นต้น</t>
  </si>
  <si>
    <t>D2.8 #33</t>
  </si>
  <si>
    <t>2(1)</t>
  </si>
  <si>
    <t>8.5 #2(1)</t>
  </si>
  <si>
    <t>การใช้งานอุปกรณ์เคลื่อนที่ (mobile device)
มีการลงทะเบียนอุปกรณ์เคลื่อนที่ทั้งของพนักงานและบุคคลภายนอกก่อนการใช้งาน และมีการอนุมัติโดยผู้บริหารที่เกี่ยวข้อง ที่รวมถึงจัดให้มีการทบทวนทะเบียนดังกล่าวอย่างน้อยปีละ 1 ครั้งหรือเมื่อมีการเปลี่ยนอุปกรณ์ พร้อมทั้งยกเลิกสิทธิการใช้งานของอุปกรณ์เดิม เพื่อให้มั่นใจได้ว่าการใช้งานอุปกรณ์ดังกล่าวมีความความมั่นคงปลอดภัยเพียงพอ ทั้งนี้ ผู้ประกอบธุรกิจอาจใช้ระบบการลงทะเบียนอื่นทดแทนได้ หากพิจารณาแล้วเห็นว่าเหมาะสม</t>
  </si>
  <si>
    <t xml:space="preserve">1. สัมภาษณ์ ผู้บริหารด้าน IT หรือ IT Security เกี่ยวกับการควบคุมการใช้อุปกรณ์เคลื่อนที่ (mobile device) เพื่อเข้าถึงระบบ IT ที่มีนัยสำคัญ
2. สอบทาน "แนวทางหรือวิธีปฏิบัติในการใช้อุปกรณ์เคลื่อนที่ (mobile device) เพื่อเข้าถึงระบบ IT ที่มีนัยสำคัญ" เพื่อให้มั่นใจว่า
    (1) มีการลงทะเบียนอุปกรณ์เคลื่อนที่และพิสูจน์ตัวตนของผู้ใช้ก่อนการใช้งาน 
    (2) มีการทบทวนและปรับปรุงทะเบียนดังกล่าวให้เหมาะสมอย่างน้อยปีละ 1 ครั้ง และเมื่อมีการเปลี่ยนอุปกรณ์ 
3. สอบทาน "ทะเบียนอุปกรณ์เคลื่อนที่" เพื่อให้มั่นใจว่ามีการลงทะเบียนอุปกรณ์เคลื่อนที่และมีรายละเอียดต่าง ๆ เพียงพอต่อการควบคุมการใช้งาน โดยทะเบียนดังกล่าวควรมีข้อมูลรายละเอียดที่เพียงพอ ตัวอย่างเช่น
    (1) ยี่ห้อ รุ่น
    (2) ระบบปฏิบัติการ
    (3) รหัสประจำเครื่อง (serial number)
    (4) หมายเลขอ้างอิงอุปกรณ์เครือข่าย (MAC address)
4. สอบทานรายงานการทบทวน "ทะเบียนอุปกรณ์เคลื่อนที่" เพื่อให้มั่นใจว่า มีการทบทวนและปรับปรุงทะเบียนดังกล่าวให้เหมาะสมอย่างน้อยปีละ 1 ครั้ง และเมื่อมีการเปลี่ยนอุปกรณ์ </t>
  </si>
  <si>
    <t>D2.8 #34</t>
  </si>
  <si>
    <t>2(2)</t>
  </si>
  <si>
    <t>8.5 #2(2)</t>
  </si>
  <si>
    <t>การใช้งานอุปกรณ์เคลื่อนที่ (mobile device)
มีมาตรการป้องกันข้อมูลที่เป็นความลับหรือมีความสำคัญ (sensitive data) เช่น การยืนยันตัวตนก่อนใช้งานอุปกรณ์ (lock screen) การเข้ารหัสข้อมูลบนอุปกรณ์ที่ใช้ปฏิบัติงาน หรือการลบข้อมูลจากระยะไกล (remote wipe-out) เป็นต้น</t>
  </si>
  <si>
    <t>1. สัมภาษณ์ ผู้บริหารด้าน IT หรือ IT Security เกี่ยวกับมาตรการป้องกันข้อมูลที่เป็นความลับหรือมีความสำคัญ (sensitive data) กรณีที่อุปกรณ์เคลื่อนที่สูญหาย
2. สอบทาน "กระบวนการหรือเครื่องมือที่ใช้ในการบริหารจัดการอุปกรณ์เคลื่อนที่ (mobile device management: MDM)" เพื่อให้มั่นใจว่ามีกระบวนหรือเครื่องมือที่ใช้การป้องกันข้อมูลที่เป็นความลับหรือมีความสำคัญ กรณีที่อุปกรณ์เคลื่อนที่สูญหาย เช่น 
    (1) การกำหนดรหัสผ่านตามข้อกำหนดของบริษัทก่อนการใช้งานอุปกรณ์
    (2) การ lock screen เมื่อไม่มีการใช้งาน 
    (3) การลบข้อมูลจากระยะไกล (remote wipe-out)
    (4) การเข้ารหัสข้อมูล</t>
  </si>
  <si>
    <t>D2.8 #35</t>
  </si>
  <si>
    <t>2(3)</t>
  </si>
  <si>
    <t>8.5 #2(3)</t>
  </si>
  <si>
    <t>การใช้งานอุปกรณ์เคลื่อนที่ (mobile device)
มีเครื่องมือในการบริหารจัดการอุปกรณ์เคลื่อนที่ที่มีความสามารถในการบริหารจัดการชุดโปรแกรมแก้ไขช่องโหว่ด้านความมั่นคงปลอดภัย (security patch) การตั้งค่าอุปกรณ์ (configuration) และการบริหารจัดการด้านการป้องกันไวรัสและโปรแกรมไม่พึงประสงค์</t>
  </si>
  <si>
    <t>1. สัมภาษณ์ ผู้บริหารด้าน IT หรือ IT Security เกี่ยวกับ
    (1) การจัดให้มีเครื่องมือในการบริหารจัดการอุปกรณ์เคลื่อนที่ ที่มีความสามารถในการบริหารจัดการชุดโปรแกรม การแก้ไขช่องโหว่ด้านความมั่นคงปลอดภัย (security patch) และการตั้งค่าอุปกรณ์ (configuration)
    (2) การบริหารจัดการด้านการป้องกันไวรัสและโปรแกรมไม่พึงประสงค์ รวมถึงการสร้างความตระหนักให้ผู้ใช้งานอย่างเหมาะสม
2. สอบทาน “การตั้งค่าของเครื่องมือที่ใช้ในการบริหารจัดการอุปกรณ์เคลื่อนที่” สำหรับอุปกรณ์เคลื่อนที่ของบริษัท เพื่อให้มั่นใจว่า 
    (1) มีการควบคุมให้มีการติดตั้งเฉพาะซอฟต์แวร์ที่ถูกต้องตามลิขสิทธิ์
    (2) มีกระบวนการ มาตรการ หรือ เครื่องมือ ที่ใช้ในการบริหารจัดการการติดตั้งโปรแกรมเพื่อปิดช่องโหว่ความปลอดภัย (patches) บนอุปกรณ์เคลื่อนที่อย่างเหมาะสม โดยมีการจัดทำเป็นลายลักษณ์อักษร รวมทั้งมีการติดตามและทบทวนอย่างสม่ำเสมอ
    (3) มีการติดตั้งซอฟต์แวร์ป้องกันไวรัสและโปรแกรมไม่ประสงค์ดี</t>
  </si>
  <si>
    <t>D2.8 #36</t>
  </si>
  <si>
    <t>3(1)</t>
  </si>
  <si>
    <t>8.5 #3(1)</t>
  </si>
  <si>
    <t>การใช้อุปกรณ์ส่วนตัวของพนักงาน (bring your own device : BYOD) 
มีการพิจารณาความเสี่ยงที่เกี่ยวข้อง และจัดให้มีมาตรการควบคุมความเสี่ยงอย่างเหมาะสม โดยมีการกำหนดหลักเกณฑ์การอนุญาตให้ใช้งาน BYOD</t>
  </si>
  <si>
    <t xml:space="preserve">1. สัมภาษณ์ ผู้บริหารด้าน IT หรือ IT Security เกี่ยวกับมาตรการควบคุมความเสี่ยงกรณีที่อนุญาตให้พนักงานสามารถใช้อุปกรณ์ส่วนตัวของพนักงาน (bring your own device : BYOD) เพื่อเข้าถึงระบบ IT
2. สอบทาน "หลักเกณฑ์การอนุญาตให้ใช้งาน BYOD" เพื่อให้มั่นใจว่ามีมาตรการควบคุมความเสี่ยงอย่างเหมาะสม
</t>
  </si>
  <si>
    <t>D2.8 #37</t>
  </si>
  <si>
    <t>3(2)</t>
  </si>
  <si>
    <t>8.5 #3(2)</t>
  </si>
  <si>
    <t>การใช้อุปกรณ์ส่วนตัวของพนักงาน (bring your own device : BYOD) 
มีการควบคุมการใช้ BYOD ในการเข้าถึงระบบเครือข่ายสื่อสาร ข้อมูลและระบบ IT เท่าที่จำเป็น</t>
  </si>
  <si>
    <t>1. สอบทาน การควบคุมหรือการตั้งค่า BYOD  ให้สามารถเข้าถึงระบบเครือข่ายสื่อสาร ข้อมูลและระบบ IT เท่าที่จำเป็น</t>
  </si>
  <si>
    <t>D2.8 #38</t>
  </si>
  <si>
    <t>3(3)</t>
  </si>
  <si>
    <t>8.5 #3(3)</t>
  </si>
  <si>
    <t>การใช้อุปกรณ์ส่วนตัวของพนักงาน (bring your own device : BYOD) 
มีการยืนยันตัวตนเพื่อปลดล็อคในการเข้าถึง BYOD</t>
  </si>
  <si>
    <t>1. สอบทาน การควบคุมหรือการตั้งค่า BYOD  ต้องมีการยืนยันตัวตนเพื่อปลดล็อคในการเข้าถึง  เช่น การใช้รหัสผ่าน และการสแกนลายนิ้วมือ เป็นต้น</t>
  </si>
  <si>
    <t>D2.8 #39</t>
  </si>
  <si>
    <t>3(4)</t>
  </si>
  <si>
    <t>8.5 #3(4)</t>
  </si>
  <si>
    <t xml:space="preserve">การใช้อุปกรณ์ส่วนตัวของพนักงาน (bring your own device : BYOD) 
ในกรณีที่เครื่องคอมพิวเตอร์ส่วนตัวของพนักงาน (personal computer, notebook) สามารถเชื่อมต่อเข้าสู่ระบบเครือข่ายภายในหรือข้อมูลสำคัญ จัดให้มีการติดตั้งซอฟต์แวร์ป้องกันไวรัสและโปรแกรมไม่ประสงค์ดีและปรับปรุงให้ทันสมัย (update) อยู่เสมอ </t>
  </si>
  <si>
    <t>1. สัมภาษณ์ ผู้บริหารด้าน IT หรือ IT Security เกี่ยวกับ “กระบวนการตรวจสอบเครื่องคอมพิวเตอร์ส่วนตัวของพนักงานที่จะนำมาเชื่อมต่อเข้าสู่ระบบเครือข่ายภายในหรือข้อมูลสำคัญ" และการสร้างความตระหนักรู้ให้บุคคลที่เกี่ยวข้องอย่างเหมาะสม
2. สอบทาน “กระบวนการตรวจสอบเครื่องคอมพิวเตอร์ส่วนตัวของพนักงานที่จะนำมาเชื่อมต่อเข้าสู่ระบบเครือข่ายภายในหรือข้อมูลสำคัญ" เพื่อให้มั่นใจว่ามีการติดตั้งซอฟต์แวร์ป้องกันไวรัสและโปรแกรมไม่ประสงค์ดี และปรับปรุงให้ทันสมัย (update) อยู่เสมอ</t>
  </si>
  <si>
    <t>D2.8 #40</t>
  </si>
  <si>
    <t>3(5)</t>
  </si>
  <si>
    <t>8.5 #3(5)</t>
  </si>
  <si>
    <t>การใช้อุปกรณ์ส่วนตัวของพนักงาน (bring your own device : BYOD) 
ไม่อนุญาตให้ใช้อุปกรณ์เคลื่อนที่ (tablet, smartphone) ที่ถูกปรับแต่ง (rooted หรือ jailbroken) เข้าถึงระบบ IT</t>
  </si>
  <si>
    <t>1. สอบทาน การควบคุมหรือการตั้งค่า BYOD ที่ถูกปรับแต่ง (rooted/ jailbroken) ต้องไม่สามารถใช้งานเพื่อเชื่อมต่อเข้าสู่ระบบ IT ที่สำคัญได้</t>
  </si>
  <si>
    <t>D2.8 #41</t>
  </si>
  <si>
    <t>8.5 #4</t>
  </si>
  <si>
    <t>การใช้อุปกรณ์ส่วนตัวของพนักงาน (bring your own device : BYOD)
มีกระบวนการหรือเครื่องมือตรวจสอบ วิเคราะห์ และติดตามความเสี่ยงของอุปกรณ์ที่นำมาใช้งาน เช่น ระบบบริหารจัดการอุปกรณ์เคลื่อนที่ (mobile device management : MDM) เป็นต้น</t>
  </si>
  <si>
    <t xml:space="preserve">1. สอบทาน "กระบวนการหรือเครื่องมือที่ใช้ตรวจสอบ วิเคราะห์ และติดตามความเสี่ยงของอุปกรณ์ที่นำมาใช้งาน" เช่น ระบบบริหารจัดการอุปกรณ์เคลื่อนที่ (mobile device management : MDM) เป็นต้น </t>
  </si>
  <si>
    <t>การสำรองข้อมูล (data backup)</t>
  </si>
  <si>
    <t>D2.8 #42</t>
  </si>
  <si>
    <t>8.6 #1</t>
  </si>
  <si>
    <t xml:space="preserve">มีการกําหนดมาตรฐานหรือวิธีปฏิบัติในการสํารองข้อมูลที่สอดคล้องกับระยะเวลาเป้าหมายในการกู้คืนระบบ IT  (recovery time objective : RTO) และระยะเวลาเป้าหมายสูงสุดที่ยอมให้ข้อมูลเสียหาย (recovery point objective : RPO) โดยอย่างน้อยควรมีรายละเอียดครอบคลุม 
  (1) ข้อมูลที่ต้องสำรอง
  (2) ความถี่หรือรอบเวลาในการสำรองข้อมูล 
  (3) ขั้นตอนและวิธีการสำรองข้อมูล
  (4) ขั้นตอนและวิธีการกู้คืนข้อมูล 
  (5) สถานที่และวิธีการเก็บรักษาสื่อบันทึกข้อมูล 
</t>
  </si>
  <si>
    <t>1. สัมภาษณ์ ผู้บริหารด้าน IT เกี่ยวกับการสำรองข้อมูให้สอดคล้องกับระยะเวลาเป้าหมายในการกู้คืนระบบ IT (recovery time objective : RTO) และระยะเวลาเป้าหมายสูงสุดที่ยอมให้ข้อมูลเสียหาย (recovery point objective : RPO)
2. สอบทาน "มาตรฐานหรือวิธีปฏิบัติในการสำรองข้อมูล (data backup)" เพื่อให้มั่นใจว่ามีรายละเอียดครอบคลุมอย่างน้อย ดังนี้
    (1) ข้อมูลที่ต้องสำรอง
    (2) ความถี่หรือรอบเวลาในการสำรองข้อมูล 
    (3) ขั้นตอนและวิธีการสำรองข้อมูล
    (4) ขั้นตอนและวิธีการกู้คืนข้อมูล 
    (5) สถานที่และวิธีการเก็บรักษาสื่อบันทึกข้อมูล 
   3. สอบทาน "การตั้งค่าการสํารองข้อมูลระบบ IT ที่มีนัยสำคัญ" เพื่อให้มั่นใจว่ามีการสำรองข้อมูลสอดคล้องกับระยะเวลาเป้าหมายสูงสุดที่ยอมให้ข้อมูลเสียหาย (recovery point objective : RPO)</t>
  </si>
  <si>
    <t>D2.8 #43</t>
  </si>
  <si>
    <t>8.6 #2</t>
  </si>
  <si>
    <t>มีการจัดเก็บสื่อบันทึกข้อมูลสำรอง พร้อมทั้งสำเนาขั้นตอนหรือวิธีปฏิบัติงานต่าง ๆ ไว้นอกศูนย์คอมพิวเตอร์หลักหรือนอกสถานที่ปฏิบัติงานหลัก โดยสถานที่ดังกล่าวควรจัดให้มีมาตรการรักษาความปลอดภัยเทียบเคียงกับศูนย์คอมพิวเตอร์หลักหรือสถานที่ปฏิบัติงานหลัก</t>
  </si>
  <si>
    <t>1. สัมภาษณ์ ผู้บริหารด้าน IT เกี่ยวกับการจัดเก็บสื่อบันทึกข้อมูลสำรอง
2. สอบทาน "นโยบายการปฏิบัติงานทางด้านสารสนเทศ หรือ มาตรฐานหรือวิธีปฏิบัติในการสำรองข้อมูล (data backup)" เพื่อให้มั่นใจว่า
    (1) มีการกำหนดให้จัดเก็บสื่อบันทึกข้อมูลสำรอง พร้อมทั้งสำเนาขั้นตอนหรือวิธีปฏิบัติต่าง ๆ ไว้นอกศูนย์คอมพิวเตอร์หลักหรือนอกสถานที่ปฏิบัติงานหลัก 
    (2) มีมาตรการรักษาความปลอดภัยเทียบเคียงกับศูนย์คอมพิวเตอร์หลักหรือสถานที่ปฏิบัติงานหลัก
3. สังเกตการณ์ การเก็บรักษาสื่อสำรองข้อมูลและสำเนาขั้นตอนหรือวิธีปฏิบัติต่าง ๆ เพื่อให้มั่นใจว่า
    (1) มีการเก็บรักษาสื่อสำรองข้อมูลและสำเนาขั้นตอนหรือวิธีปฏิบัติต่าง ๆ ไว้นอกศูนย์คอมพิวเตอร์หลักหรือนอกสถานที่ปฏิบัติงานหลัก
    (2) มีการควบคุมรักษาความปลอดภัยทางด้านสภาพแวดล้อมเทียบเคียงกับศูนย์คอมพิวเตอร์หลักหรือสถานที่ปฏิบัติงานหลัก</t>
  </si>
  <si>
    <t>D2.8 #44</t>
  </si>
  <si>
    <t>8.6 #3</t>
  </si>
  <si>
    <t>มีการจัดให้มีการสอบทานการสำรองข้อมูล และทดสอบข้อมูลสำรองอย่างน้อยปีละ 1 ครั้ง เพื่อให้มั่นใจว่าการสำรองข้อมูลมีความครบถ้วนถูกต้อง พร้อมใช้งาน และปลอดภัย</t>
  </si>
  <si>
    <t xml:space="preserve">1. สัมภาษณ์  ผู้บริหารด้าน IT เกี่ยวกับการสอบทานการสำรองข้อมูลและการทดสอบข้อมูลสำรอง
2. สอบทาน "นโยบายการปฏิบัติงานทางด้านสารสนเทศ หรือ มาตรฐานหรือวิธีปฏิบัติในการสำรองข้อมูล (data backup)" เพื่อให้มั่นใจว่ามีการกำหนดให้มีการสอบทานการสำรองข้อมูล และทดสอบข้อมูลสำรองอย่างน้อยปีละ 1 ครั้งและก่อนการกู้คืนข้อมูล เพื่อให้มั่นใจว่าการสำรองข้อมูลมีความครบถ้วนถูกต้อง พร้อมใช้งานและปลอดภัย
3. สอบทาน "รายงานผลการสำรองข้อมูลของระบบ IT ที่มีนัยสำคัญ" เพื่อให้มั่นใจว่า
    (1) มีการป้องกันไม่ให้การสำรองข้อมูลส่งผลกระทบต่อการให้บริการ เช่น มีการป้องกันไม่ให้มีการสำรองข้อมูลขนาดใหญ่ในช่วงเวลาทำการ เป็นต้น
    (2) มีการดำเนินงานสำรองข้อมูลอย่างครบถ้วน ถูกต้องตามที่กำหนดไว้
    (3) มีแจ้งเตือนกรณีสำรองข้อมูลไม่ครบถ้วนหรือไม่ถูกต้องไปยังผู้ที่เกี่ยวข้องทันที
4. สอบทาน "รายงานผลการทดสอบข้อมูลสำรองของระบบ IT ที่มีนัยสำคัญ" เพื่อให้มั่นใจว่าข้อมูลที่สำรองไว้พร้อมใช้งานในกรณีเกิดเหตุฉุกเฉิน </t>
  </si>
  <si>
    <t>D2.8 #45</t>
  </si>
  <si>
    <t>8.6 #4</t>
  </si>
  <si>
    <t xml:space="preserve">ในกรณีที่จำเป็นต้องจัดเก็บข้อมูลเป็นระยะเวลานาน มีวิธีการนำข้อมูลกลับมาใช้งานในอนาคตด้วย เช่น กรณีที่จัดเก็บข้อมูลในสื่อบันทึกประเภทใด ควรมีการเก็บอุปกรณ์และโปรแกรม ที่เกี่ยวข้องสำหรับใช้อ่านสื่อบันทึกประเภทนั้นไว้ด้วยเช่นกัน เป็นต้น </t>
  </si>
  <si>
    <t>1. สัมภาษณ์  ผู้บริหารด้าน IT เกี่ยวกับการดำเนินการจัดการสื่อบันทึกข้อมูลกรณีต้องจัดเก็บข้อมูลสำรองเป็นระยะเวลานาน
2. สังเกตการณ์ ประเภทสื่อบันทึกและอุปกรณ์และโปรแกรมที่ใช้อ่านสื่อบันทึกข้อมูลในปัจจุบันขององค์กร เพื่อให้มั่นใจว่าสามารถกู้คืนข้อมูลที่อยู่ในสื่อในกรณีเกิดเหตุฉุกเฉินได้</t>
  </si>
  <si>
    <t>การจัดเก็บข้อมูลบันทึกเหตุการณ์การใช้งานเกี่ยวกับระบบ IT (log)</t>
  </si>
  <si>
    <t>D2.8 #46</t>
  </si>
  <si>
    <t>8.7 #1(1)</t>
  </si>
  <si>
    <t>มีการจัดเก็บข้อมูลบันทึกเหตุการณ์การเข้า-ออกศูนย์คอมพิวเตอร์ และพื้นที่ที่เกี่ยวข้องกับระบบ IT ที่มีนัยสำคัญ (physical access log) ด้วยวิธีการที่ปลอดภัย โดยมีรายละเอียดครบถ้วนเพียงพอที่จะใช้เป็นหลักฐานในการตรวจสอบที่สามารถระบุตัวบุคคล ผู้กระทำได้ และจัดเก็บเป็นระยะเวลาอย่างน้อย 90 วัน หรือจัดเก็บตามกฎหมายที่เกี่ยวข้องกำหนด</t>
  </si>
  <si>
    <t xml:space="preserve">1. สอบทาน "บันทึกเหตุการณ์การเข้า-ออกศูนย์คอมพิวเตอร์ และพื้นที่ที่เกี่ยวข้องกับระบบ IT ที่มีนัยสำคัญ (physical access log)" เพื่อให้มั่นใจว่า 
    (1) มีการบันทึกเหตุการณ์การเข้า-ออกศูนย์คอมพิวเตอร์ และพื้นที่ที่เกี่ยวข้องกับระบบ IT ที่มีนัยสำคัญ
    (2) มีรายละเอียดเพียงพอที่จะใช้เป็นหลักฐานในการตรวจสอบ และการวิเคราะห์ข้อมูล เช่น ข้อมูลบุคคลที่เข้าถึง / วัน-เวลาที่เข้าออก / ความพยายามในการเข้าถึง (ถ้ามี) เป็นต้น
    (3) มีการจัดเก็บบันทึกเหตุการณ์อย่างน้อย 90 วัน
</t>
  </si>
  <si>
    <t>D2.8 #47</t>
  </si>
  <si>
    <t>8.7 #1(2)</t>
  </si>
  <si>
    <t>มีการจัดเก็บข้อมูลบันทึกการเข้าถึง (access log) ของเครื่องแม่ข่าย ระบบงาน อุปกรณ์เครือข่าย และข้อมูลที่มีความสำคัญ โดยรวมถึงความพยายามในการเข้าสู่ระบบ (log-in attempt)</t>
  </si>
  <si>
    <t>1. สอบทาน "บันทึกเหตุการณ์การเข้าถึง (access log)" ของเครื่องแม่ข่าย ระบบงาน อุปกรณ์เครือข่ายและข้อมูลที่มีความสำคัญ เพื่อให้มั่นใจว่า 
(1) มีการบันทึกประวัติการยืนยันตัวตนและบันทึกการเข้าถึงเครื่องแม่ข่าย ระบบงาน อุปกรณ์เครือข่าย และข้อมูลที่มีความสำคัญ  
(2) มีบันทึกเหตุการณ์ที่มีรายละเอียดที่เพียงพอสำหรับใช้เป็นหลักฐานในการตรวจสอบ เช่น ข้อมูลบัญชีผู้ใช้งาน  หมายเลข IP Address  วันที่และเวลาที่เข้าสู่ระบบ (Log-in)  และออกจากระบบ (Log-out) รวมถึงผลการยืนยันตัวตน (สำเร็จ/ล้มเหลว)  เป็นต้น 
(3) มีการจัดเก็บบันทึกเหตุการณ์อย่างน้อย 90 วัน</t>
  </si>
  <si>
    <t>D2.8 #48</t>
  </si>
  <si>
    <t>8.7 #1(3)</t>
  </si>
  <si>
    <t xml:space="preserve">มีการจัดเก็บข้อมูลบันทึกการดำเนินงาน (activity log) ที่สำคัญ โดยอย่างน้อยครอบคลุม
    (1) การเปลี่ยนแปลงแก้ไขโครงสร้างฐานข้อมูล (database schema log) และการเปลี่ยนแปลงแก้ไขข้อมูลในตารางที่สำคัญ
    (2) การเปลี่ยนแปลงแก้ไขการตั้งค่าของระบบ (system configuration)
    (3) การเปลี่ยนแปลงแก้ไขบัญชี และสิทธิของผู้ใช้งาน
</t>
  </si>
  <si>
    <t>1. สอบทาน "บันทึกการดำเนินงาน (activity log) ที่สำคัญ" ได้แก่ 
    (1) การเปลี่ยนแปลงแก้ไขโครงสร้างฐานข้อมูล
    (2) การเปลี่ยนแปลงแก้ไขข้อมูลในตารางที่สำคัญ
    (3) การเปลี่ยนแปลงแก้ไขการตั้งค่าความปลอดภัยของระบบ (system configuration)
    (4) การเปลี่ยนแปลงแก้ไขบัญชี และสิทธิของผู้ใช้งาน
เพื่อให้มั่นใจว่า ผู้ประกอบธุรกิจได้
    (1) มีการบันทึกเหตุการณ์การแก้ไขเปลี่ยนแปลงที่สำคัญ
    (2) มีการบันทึกเหตุการณ์ที่มีรายละเอียดเพียงพอสำหรับใช้เป็นหลักฐานในการตรวจสอบ เช่น ข้อมูลบัญชีผู้ใช้งาน หมายเลข IP Address  วันที่และเวลาที่มีการแก้ไขหรือเปลี่ยนแปลง รวมถึงรายละเอียดของการแก้ไขหรือเปลี่ยนแปลง  เป็นต้น 
    (3) มีการจัดเก็บบันทึกเหตุการณ์อย่างน้อย 90 วัน</t>
  </si>
  <si>
    <t>D2.8 #49</t>
  </si>
  <si>
    <t>มีการจัดเก็บข้อมูลบันทึกการดำเนินงาน (activity log) ที่สำคัญ โดยอย่างน้อยครอบคลุม
    (4) การใช้งานอินเทอร์เน็ตผ่านระบบเครือข่ายภายในของผู้ประกอบธุรกิจ (internet traffic log)</t>
  </si>
  <si>
    <t>1. สอบทาน "บันทึกเหตุการณ์การใช้งานอินเทอร์เน็ตผ่านระบบเครือข่ายภายในของผู้ประกอบธุรกิจ "  เพื่อให้มั่นใจว่า
    (1) มีการบันทึกเหตุการณ์การใช้งานอินเทอร์เน็ตผ่านระบบเครือข่ายภายในของผู้ประกอบธุรกิจ (internet traffic log)
    (2) มีการจัดเก็บข้อมูลที่มีรายละเอียดเพียงพอสำหรับใช้เป็นหลักฐานในการตรวจสอบ เช่น บัญชีผู้ใช้งาน หมายเลขประจำเครื่องที่ใช้งาน (Source IP Address) หมายเลขประจำเว็บไซต์ปลายทาง (Destination IP Address) โปรโตคอลที่ใช้ วันและเวลาในการใช้งาน เป็นต้น
    (3) มีการจัดเก็บบันทึกเหตุการณ์อย่างน้อย 90 วัน</t>
  </si>
  <si>
    <t>D2.8 #50</t>
  </si>
  <si>
    <t xml:space="preserve">มีการจัดเก็บข้อมูลบันทึกการดำเนินงาน (activity log) ที่สำคัญ โดยอย่างน้อยครอบคลุม
    (5) การทำงานของ firewall (network  firewall log)  
 </t>
  </si>
  <si>
    <t>1. สอบทาน "บันทึกเหตุการณ์การทำงานของ  firewall (network firewall log)"  เพื่อให้มั่นใจว่า
    (1) มีการบันทึกเหตุการณ์การทำงานของ firewall  (network firewall log)
    (2) มีการจัดเก็บข้อมูลที่มีรายละเอียดเพียงพอสำหรับใช้เป็นหลักฐานในการตรวจสอบ เช่น วันที่ เวลา กิจกรรม (Allow, Drop) โปรโตคอลที่ใช้ (TCP, UDP) หมายเลขประจำเครื่องต้นทาง (Source IP Address) หมายเลขประจำเครื่องปลายทาง (Destination IP Address) พอร์ตที่ใช้ในการติดต่อของเครื่องต้นทาง (Source Port) และพอร์ตที่ใช้ในการติดต่อของเครื่องปลายทาง (Destination Port) เป็นต้น 
    (3) มีการจัดเก็บบันทึกเหตุการณ์อย่างน้อย 90 วัน</t>
  </si>
  <si>
    <t>D2.8 #51</t>
  </si>
  <si>
    <t>8.7 #1(4)</t>
  </si>
  <si>
    <t>มีการจัดเก็บข้อมูลบันทึกหลักฐานการติดต่อสนทนาผ่านช่องทางอิเล็กทรอนิกส์ (electronic messaging) ของบุคคลที่สามารถ เข้าถึงข้อมูลภายใน (access person)โดยมีรายละเอียดขั้นต่ำประกอบด้วยบัญชีผู้ใช้งาน / วันเวลาที่เข้าใช้งาน / ข้อมูลการติดต่อตลอดระยะเวลาการสนทนา และจัดเก็บเป็นระยะเวลาอย่างน้อย 6 เดือน</t>
  </si>
  <si>
    <t>1. สอบทาน "บันทึกเหตุการณ์การติดต่อสนทนาผ่านช่องทางอิเล็กทรอนิกส์ (electronic messaging) ของบุคคลที่สามารถเข้าถึงข้อมูลภายใน (access person)" เพื่อให้มั่นใจว่า
    (1) มีการบันทึกเหตุการณ์การติดต่อสนทนาผ่านช่องทางอิเล็กทรอนิกส์ (electronic messaging) ของบุคคลที่สามารถเข้าถึงข้อมูลภายใน (access person)
    (2) มีรายละเอียดเพียงพอที่จะใช้เป็นหลักฐานในการตรวจสอบ เช่น บัญชีผู้ใช้งาน / วันเวลาที่เข้าใช้งาน และข้อมูลการติดต่อตลอดระยะเวลาการสนทนา)  เป็นต้น
    (3) มีการจัดเก็บบันทึกเหตุการณ์อย่างน้อย 6 เดือน</t>
  </si>
  <si>
    <t>D2.8 #52</t>
  </si>
  <si>
    <t>8.7 #1(5)</t>
  </si>
  <si>
    <r>
      <rPr>
        <b/>
        <sz val="10"/>
        <rFont val="Tahoma"/>
        <family val="2"/>
        <scheme val="major"/>
      </rPr>
      <t>[ผู้ประกอบธุรกิจทุกประเภท ยกเว้นผู้ประกอบธุรกิจขนาดเล็ก]</t>
    </r>
    <r>
      <rPr>
        <sz val="10"/>
        <rFont val="Tahoma"/>
        <family val="2"/>
        <scheme val="major"/>
      </rPr>
      <t xml:space="preserve"> มีการจัดเก็บข้อมูลบันทึกการทำธุรกรรม (transaction log) ควรมีระยะเวลาจัดเก็บขั้นต่ำ 1 ปี 
</t>
    </r>
    <r>
      <rPr>
        <b/>
        <sz val="10"/>
        <rFont val="Tahoma"/>
        <family val="2"/>
        <scheme val="major"/>
      </rPr>
      <t>[สำหรับผู้ประกอบธุรกิจที่มีการใช้งานระบบ IT เพื่อการซื้อขายหลักทรัพย์ (trading system/order management system) เช่น บล. เป็นต้น]</t>
    </r>
    <r>
      <rPr>
        <sz val="10"/>
        <rFont val="Tahoma"/>
        <family val="2"/>
        <scheme val="major"/>
      </rPr>
      <t xml:space="preserve"> โดยในกรณีที่เป็นระบบ IT เพื่อการซื้อขายหลักทรัพย์ (trading system) ให้บันทึกบัญชีผู้ใช้งาน / ข้อมูลรายละเอียดชื่อย่อหลักทรัพย์ (securities symbol) / หมายเลขบริษัทสมาชิก (broker No. 4 หลัก : xxxx) / เลขที่คำสั่งซื้อขายหลักทรัพย์ (SET order ID) / เลขที่บัญชีซื้อขายหลักทรัพย์ (account ID) / วันและเวลาในการส่งคำสั่งซื้อขายหลักทรัพย์ (yyyy/mm/dd – hh:mm:ss:sss) / หมายเลข public และ local IP address ต้นทาง (source) / หมายเลข IP address ปลายทาง (destination) / ที่อยู่ของเว็บไซต์ปลายทาง (full URL) / terminal type (ถ้ามี) เช่น mobile, PC, iPad, iPhone เป็นต้น</t>
    </r>
  </si>
  <si>
    <t>1. สอบทาน "บันทึกการทำธุรกรรม (transaction log)" เพื่อให้มั่นใจว่า
    (1) มีการบันทึกการทำธุรกรรม (transaction log)
    (2) มีรายละเอียดเพียงพอที่จะใช้เป็นหลักฐานในการตรวจสอบ 
      กรณีที่เป็นระบบ IT เพื่อการซื้อขายหลักทรัพย์ (trading system) ให้บันทึก บัญชีผู้ใช้งาน / ข้อมูลรายละเอียดชื่อย่อหลักทรัพย์ (securities symbol) / หมายเลขบริษัทสมาชิก (broker No. 4 หลัก : xxxx) / เลขที่คำสั่งซื้อขายหลักทรัพย์ (SET order ID) / เลขที่บัญชีซื้อขายหลักทรัพย์ (account ID) / วันและเวลาในการส่งคำสั่งซื้อขายหลักทรัพย์ (yyyy/mm/dd – hh:mm:ss:sss) / หมายเลข public และ local IP address ต้นทาง (source) / หมายเลข IP address ปลายทาง (destination) / ที่อยู่ของเว็บไซต์ปลายทาง (full URL) / terminal type (ถ้ามี) เช่น iPad, iPhone เป็นต้น
      กรณีที่เป็นระบบ IT ที่ไม่เกี่ยวกับการซื้อขายหลักทรัพย์ (trading system) ให้บันทึก บัญชีผู้ใช้งาน /  วันและเวลาในการทำกิจกรรม และรายละเอียดของกิจกรรม เป็นต้น
    (3) มีการจัดเก็บบันทึกกิจกรรมอย่างน้อย 1 ปี</t>
  </si>
  <si>
    <t>D2.8 #53</t>
  </si>
  <si>
    <t>8.7</t>
  </si>
  <si>
    <r>
      <rPr>
        <b/>
        <sz val="10"/>
        <rFont val="Tahoma"/>
        <family val="2"/>
        <scheme val="major"/>
      </rPr>
      <t>[สำหรับผู้ประกอบธุรกิจที่มีการใช้งานระบบ IT เพื่อการซื้อขายหลักทรัพย์ (trading system/order management system) เช่น บล. เป็นต้น]</t>
    </r>
    <r>
      <rPr>
        <sz val="10"/>
        <rFont val="Tahoma"/>
        <family val="2"/>
        <scheme val="major"/>
      </rPr>
      <t xml:space="preserve"> มีการจัดเก็บข้อมูลบันทึกการทำธุรกรรมเพิ่มเติม (additional transaction log) ในลักษณะที่พร้อมจัดทำและนำส่งต่อสำนักงานในรูปแบบที่สำนักงานกำหนดโดยไม่ชักช้าเมื่อสำนักงานร้องขอ เช่น การจัดเก็บไฟล์ในรูปแบบ excel, CSV หรืออื่น ๆ เป็นต้น ที่ทำให้ผู้ประกอบธุรกิจสามารถนำข้อมูลดังกล่าวจัดทำเป็นรายงานข้อมูลบันทึกธุรกรรมเพิ่มเติมต่อสำนักงานได้
โดยต้องมีการจัดเก็บข้อมูลดังต่อไปนี้ ในรูปแบบที่พร้อมสามารถนำมาจัดทำบันทึกการทำธุรกรรม (additional transaction log) ได้โดยไม่ชักช้าเมื่อสำนักงานร้องขอ
    (1)  บัญชีผู้ใช้งาน (user ID)
    (2)  เลขบัตรประจำตัวประชาชนหรือเลขทะเบียนนิติบุคคลของลูกค้า
    (3)  ชื่อ-นามสกุลของลูกค้า
    (4)  วันและเวลาที่จับคู่คำสั่งซื้อขายได้ (matched date : yyyy/mm/dd – hh:mm:ss:sss)
    (5)  กรณีส่งคำสั่งจากอุปกรณ์ของบริษัทหลักทรัพย์ ให้จัดเก็บข้อมูลที่สามารถระบุได้ว่า คำสั่งซื้อขายจัดส่งจากอุปกรณ์ใด และใครเป็นผู้ใช้งานอุปกรณ์ในขณะที่ส่งคำสั่งนั้น
</t>
    </r>
    <r>
      <rPr>
        <b/>
        <sz val="10"/>
        <rFont val="Tahoma"/>
        <family val="2"/>
        <scheme val="major"/>
      </rPr>
      <t>[กรณีผู้ประกอบธุรกิจที่ไม่ได้มีการใช้งานระบบ IT เพื่อการซื้อขายหลักทรัพย์ (trading system/order management system)]</t>
    </r>
    <r>
      <rPr>
        <sz val="10"/>
        <rFont val="Tahoma"/>
        <family val="2"/>
        <scheme val="major"/>
      </rPr>
      <t xml:space="preserve"> ตอบ N/A</t>
    </r>
  </si>
  <si>
    <t>1. สอบทาน "บันทึกการทำธุรกรรม (transaction log)" หรือ "บันทึกข้อมูล (log)" หรือไฟล์ที่ใช้เก็บข้อมูล เพื่อให้มั่นใจว่ามีการจัดเก็บข้อมูลดังต่อไปนี้ ในรูปแบบที่สามารถพร้อมนำมาจัดทำเป็นข้อมูลบันทึกการทำธุรกรรมเพิ่มเติม (additional transaction log) ได้โดยไม่ชักช้าเมื่อสำนักงานร้องขอ
    (1)  บัญชีผู้ใช้งาน (user ID)
    (2)  เลขบัตรประจำตัวประชาชนหรือเลขทะเบียนนิติบุคคลของลูกค้า
    (3)  ชื่อ-นามสกุลของลูกค้า
    (4)  วันและเวลาที่จับคู่คำสั่งซื้อขายได้ (matched date : yyyy/mm/dd – hh:mm:ss:sss)
    (5)  กรณีส่งคำสั่งจากอุปกรณ์ของบริษัทหลักทรัพย์ ให้จัดเก็บข้อมูลที่สามารถระบุได้ว่า คำสั่งซื้อขายจัดส่งจากอุปกรณ์ใด และใครเป็นผู้ใช้งานอุปกรณ์ในขณะที่ส่งคำสั่งนั้น
เช่น การจัดเก็บไฟล์ที่บันทึกข้อมูลข้อ (1) - (5) ในรูปแบบ CSV ซึ่งเมื่อสำนักงานร้องขอข้อมูลเพื่อตรวจสอบว่า ธุรกรรมใน "บันทึกการทำธุรกรรม" (transaction log) รายการที่สำนักงานร้องขอ มีข้อมูล (1) - (5) อย่างไร ผู้ประกอบธุรกิจจะสามารถนำข้อมูลที่จัดเก็บไว้มาทำการเชื่อมโยงและจัดทำเป็นข้อมูลต่อสำนักงานได้ เป็นต้น</t>
  </si>
  <si>
    <t>D2.8 #54</t>
  </si>
  <si>
    <t>8.7 #2</t>
  </si>
  <si>
    <t>มีการใช้ระบบในการควบคุมค่าเวลาของเครื่องแม่ข่าย ระบบงาน และอุปกรณ์เครือข่ายให้ตรงกับเครื่องแม่ข่าย network time protocol : NTP (clock synchronization) เพื่อให้ค่าเวลาในการบันทึกเหตุการณ์มีความถูกต้องในลักษณะ real-time ซึ่งเครื่อง NTP ควรรับสัญญาณให้ตรงกับสัญญาณนาฬิกาจากแหล่งที่มีความน่าเชื่อถือ (เช่น Stratum 1 จากสถาบันมาตรวิทยาแห่งชาติ และกรมอุทกศาสตร์ กองทัพเรือ เป็นต้น)
ทั้งนี้ ในกรณีผู้ประกอบธุรกิจที่เป็นสมาชิกของตลาดหลักทรัพย์ ควรกำหนดระบบเวลาของอุปกรณ์และระบบ IT ที่เกี่ยวกับการซื้อขายหลักทรัพย์และการชำระราคาให้ตรงกับเวลาอ้างอิงของระบบซื้อขายหลักทรัพย์ของตลาดหลักทรัพย์ เพื่อให้การตรวจสอบธุรกรรมที่ไม่เหมาะสมทั้งหมดเป็นไปอย่างถูกต้องและมีประสิทธิภาพ</t>
  </si>
  <si>
    <t>1. สอบทาน "การตั้งค่าระบบการควบคุมค่าเวลาของเครื่องแม่ข่าย ระบบงาน และอุปกรณ์เครื่องข่าย" เพื่อให้มั่นใจว่ามีการควบคุมเวลาของเครื่องแม่ข่าย ระบบงาน และอุปกรณ์เครื่องข่ายให้ตรงกับเครื่องแม่ข่าย network time protocol: NTP (clock synchronization) 
2. สอบทาน "การตั้งค่าการรับสัญญาณนาฬิกาของเครื่องแม่ข่าย network time protocol: NTP (clock synchronization)" เพื่อให้มั่นใจว่า มีการรับสัญญาณนาฬิกาจากแหล่งที่มีความน่าเชื่อถือ (เช่น Stratum 1 จากสถาบันมาตรวิทยาแห่งชาติ และกรมอุทกศาสตร์ กองทัพเรือ เป็นต้น) ทั้งนี้  ในกรณีผู้ประกอบธุรกิจที่เป็นสมาชิกของตลาดหลักทรัพย์ ควรกำหนดระบบเวลาของอุปกรณ์และระบบ IT ที่เกี่ยวกับ การซื้อขายหลักทรัพย์และการชำระราคาให้ตรงกับเวลาอ้างอิงของระบบซื้อขายหลักทรัพย์ของตลาดหลักทรัพย์ เพื่อให้การตรวจสอบธุรกรรมที่ไม่เหมาะสมทั้งหมดเป็นไปอย่างถูกต้องและมีประสิทธิภาพ</t>
  </si>
  <si>
    <t>D2.8 #55</t>
  </si>
  <si>
    <t>8.7 #3</t>
  </si>
  <si>
    <t>มีการจัดเก็บ log ที่เกี่ยวข้องกับข้อมูลส่วนบุคคล เพื่อใช้ตรวจสอบกิจกรรมของผู้ใช้งานและใช้เป็นหลักฐานหากเกิดเหตุการณ์ การเข้าถึง ใช้งาน แก้ไขเปลี่ยนแปลง หรือเปิดเผยข้อมูลส่วนบุคคลที่ไม่เหมาะสม โดยสอดคล้องกับกฎหมายและหลักเกณฑ์ที่เกี่ยวข้อง เช่น กฎหมายว่าด้วยการกระทำความผิดเกี่ยวกับคอมพิวเตอร์ และกฎหมายว่าด้วยการคุ้มครองข้อมูลส่วนบุคคล เป็นต้น</t>
  </si>
  <si>
    <t>1. สอบทาน "บันทึกเหตุการณ์การที่เกี่ยวข้องกับข้อมูลส่วนบุคคล" เกี่ยวกับการเข้าถึง เปลี่ยนแปลง ลบ หรือถ่ายโอนข้อมูลส่วนบุคคล ให้สอดคล้องเหมาะสมกับวิธีการและสื่อที่ใช้ในการเก็บรวบรวม ใช้หรือเปิดเผยข้อมูลส่วนบุคคล เพื่อให้มั่นใจว่า มีการบันทึกเหตุการณ์การที่เกี่ยวข้องกับข้อมูลส่วนบุคคลสอดคล้องกับกฎหมายและหลักเกณฑ์ที่เกี่ยวข้อง เช่น กฎหมายว่าด้วยการกระทำความผิดเกี่ยวกับคอมพิวเตอร์ และกฎหมายว่าด้วยการคุ้มครองข้อมูล ส่วนบุคคล เป็นต้น</t>
  </si>
  <si>
    <t>D2.8 #56</t>
  </si>
  <si>
    <t>8.7 #4</t>
  </si>
  <si>
    <t>มีการจัดเก็บ log ของอุปกรณ์สำคัญไว้ที่เครื่องแม่ข่ายที่ใช้จัดเก็บ log (logging server) ที่แยกเฉพาะ หรือใช้วิธีการที่เทียบเคียงซึ่งสามารถป้องกันการเปลี่ยนแปลง แก้ไข หรือทำลาย log ได้ และมีการกำหนดหน้าที่และความรับผิดชอบของผู้มีสิทธิเข้าถึง log ตามความจำเป็น</t>
  </si>
  <si>
    <t>1.  สัมภาษณ์ ผู้บริหารด้าน IT หรือ IT Security เกี่ยวกับกระบวนการป้องกันการเปลี่ยนแปลง แก้ไข หรือทำลายบันทึกเหตุการณ์
2. สอบทาน "การตั้งค่าการส่ง log ของอุปกรณ์สำคัญไปจัดเก็บที่เครื่องแม่ข่ายที่ใช้จัดเก็บ log (logging server) หรือวิธีการที่เทียบเคียง" เพื่อให้มั่นใจว่ามีการป้องกันการเปลี่ยนแปลง แก้ไข หรือทำลาย log รวมทั้งมีการป้องกันการเข้าถึงและเผยแพร่ log โดยไม่ได้รับอนุญาต อย่างเหมาะสม
3. สอบทาน "รายชื่อผู้มีสิทธิเข้าถึงเครื่องแม่ข่ายที่ใช้จัดเก็บ log (logging server)" เพื่อให้มั่นใจว่ามีการจำกัดสิทธิการเข้าบันทึกเหตุการณ์ของอุปกรณ์สำคัญ เฉพาะผู้ที่มีหน้าที่รับผิดชอบเท่านั้น
4. สอบทานกระบวนการแจ้งเตือนเมื่อตรวจพบการเข้าถึง การแก้ไข หรือการลบข้อมูล log โดยไม่ได้รับอนุญาต</t>
  </si>
  <si>
    <t>D2.8 #57</t>
  </si>
  <si>
    <t>มีกระบวนการยืนยันตัวตนและตรวจสอบสิทธิในการเข้าถึง log ที่เข้มงวด</t>
  </si>
  <si>
    <t>1. สอบทาน "กระบวนการยืนยันตัวตนและตรวจสอบสิทธิในการเข้าถึง log" เพื่อให้มั่นใจว่ามีการควบคุมการเข้าถึง log อย่างเข้มงวด และเป็นไปตามนโยบายการควบคุมการเข้าถึงที่เกี่ยวข้อง เช่น กำหนดให้มีการใช้งาน MFA สำหรับยืนยันตัวตนเพื่อเข้าถึงเครื่องแม่ข่ายที่ใช้จัดเก็บ log (logging server) เป็นต้น</t>
  </si>
  <si>
    <t>D2.8 #58</t>
  </si>
  <si>
    <t>ติดตั้งเครื่องแม่ข่าย หรืออุปกรณ์ที่ใช้จัดเก็บ log ให้อยู่ในโซนเครือข่ายที่มีความมั่นคงปลอดภัย</t>
  </si>
  <si>
    <t>1. สอบทาน "การติดตั้งครื่องแม่ข่ายที่ใช้จัดเก็บ log (logging server)" เพื่อให้มั่นใจว่า มีการติดตั้งครื่องแม่ข่ายหรืออุปกรณ์ที่ใช้จัดเก็บ log อยู่ในโซนเครือข่ายที่มีความมั่นคงปลอดภัย</t>
  </si>
  <si>
    <t>การติดตามดูแลระบบและเฝ้าระวังภัยคุกคามทางไซเบอร์ (security monitoring)</t>
  </si>
  <si>
    <t>D2.8 #59</t>
  </si>
  <si>
    <t>8.8 #1</t>
  </si>
  <si>
    <t>มีกระบวนการหรือเครื่องมือในการตรวจจับเหตุการณ์ผิดปกติที่อาจส่งผลกระทบต่อความปลอดภัยของระบบ IT ที่มีนัยสำคัญอย่างทันท่วงที เช่น กระบวนการหรือเครื่องมือในการสอบทาน log เป็นต้น เพื่อให้รับทราบความผิดปกติหรือภัยคุกคาม และสามารถดำเนินการป้องกันหรือรับมือได้อย่างเหมาะสม</t>
  </si>
  <si>
    <t>1.  สัมภาษณ์ ผู้บริหารด้าน IT หรือ IT Security เกี่ยวกับกระบวนการหรือเครื่องมือในการตรวจจับ วิเคราะห์ และ ประเมินเหตุการณ์ผิดปกติที่อาจส่งผลกระทบต่อความปลอดภัย ของระบบ IT ที่มีนัยสำคัญ
2. สอบทาน "กระบวนการหรือเครื่องมือในการตรวจจับ วิเคราะห์ และ ประเมินเหตุการณ์ผิดปกติ" เพื่อให้มั่นใจว่ามีกระบวนการหรือเครื่องมือในการตรวจจับ วิเคราะห์ และประเมินเหตุการณ์ผิดปกติที่อาจส่งผลกระทบต่อความปลอดภัยของระบบ IT ที่มีนัยสำคัญอย่างทันท่วงที</t>
  </si>
  <si>
    <t>D2.8 #60</t>
  </si>
  <si>
    <t>8.8 #2</t>
  </si>
  <si>
    <t>มีกระบวนการหรือเครื่องมือในการรับข้อมูลข่าวสารเกี่ยวกับภัยคุกคาม (cyber threat intelligence) เพื่อให้สามารถติดตามและวิเคราะห์ภัยคุกคามทางไซเบอร์ที่อาจเกิดขึ้น และสามารถดำเนินการป้องกันหรือรับมือได้อย่างเหมาะสม</t>
  </si>
  <si>
    <t>1.  สัมภาษณ์ ผู้บริหารด้าน IT หรือ IT Security เกี่ยวกับกระบวนการหรือเครื่องมือในการรับข้อมูลข่าวสารเกี่ยวกับภัยคุกคาม (cyber threat intelligence) โดยครอบคลุมการติดต่อหน่วยงาน องค์กร หรือสมาคมที่มีความเชี่ยวชาญด้านความมั่นคงปลอดภัยสารสนเทศ
2. สอบทาน "หลักฐานการติดตามข่าวสารเกี่ยวกับภัยคุกคาม (cyber threat intelligence)" เพื่อให้มั่นใจว่ามีข้อมูลข่าวสารเกี่ยวกับภัยคุกคามเพียงพอสำหรับวิเคราะห์ภัยคุกคามทางไซเบอร์ที่อาจเกิดขึ้น และสามารถดำเนินการป้องกันหรือรับมือได้อย่างเหมาะสม โดยครอบคลุมการติดต่อหน่วยงาน องค์กร หรือสมาคมที่มีความเชี่ยวชาญด้านความมั่นคงปลอดภัยสารสนเทศ</t>
  </si>
  <si>
    <t>D2.8 #61</t>
  </si>
  <si>
    <t>8.8 #3</t>
  </si>
  <si>
    <t>มีหน่วยงานที่รับผิดชอบในการเฝ้าระวัง ติดตาม วิเคราะห์ ประสานงาน และเป็นศูนย์กลางในการจัดการเหตุภัยคุกคาม เช่น หน่วยงาน security operations center (SOC) เป็นต้น</t>
  </si>
  <si>
    <t>1. สัมภาษณ์ ผู้บริหารด้าน IT หรือ IT Security เกี่ยวกับการกำหนดหน่วยงานที่รับผิดชอบในการเฝ้าระวัง ติดตาม วิเคราะห์ ประสานงาน และเป็นศูนย์กลางในการจัดการเหตุภัยคุกคาม
2. สอบทาน "รายงานผลการเฝ้าระวัง ติดตาม วิเคราะห์เหตุภัยคุกคาม" เพื่อให้มั่นใจว่ามีการเฝ้าระวัง ติดตามและวิเคราะห์เหตุภัยคุกคามอย่างต่อเนื่อง</t>
  </si>
  <si>
    <t>D2.8 #62</t>
  </si>
  <si>
    <t>8.8 #4</t>
  </si>
  <si>
    <t>มีระบบรวบรวมข้อมูลเหตุการณ์จากแหล่งข้อมูลต่าง ๆ เช่น อุปกรณ์เครือข่าย ระบบงาน และระบบรักษาความปลอดภัยเครือข่าย เป็นต้น เพื่อใช้ในกระบวนการเชื่อมโยงข้อมูล (log correlation) และนำมาวิเคราะห์เหตุการณ์ผิดปกติด้านความมั่นคงปลอดภัยสารสนเทศ</t>
  </si>
  <si>
    <t>1. สอบทาน "เครื่องมือสำหรับรวบรวมข้อมูลเหตุการณ์จากแหล่งข้อมูลต่าง ๆ เช่น อุปกรณ์เครือข่าย ระบบงาน และระบบรักษาความปลอดภัยเครือข่าย" เพื่อให้มั่นใจว่ามีกระบวนการเชื่อมโยงข้อมูล (log correlation) และนำมาวิเคราะห์เหตุการณ์ผิดปกติด้านความมั่นคงปลอดภัยสารสนเทศ</t>
  </si>
  <si>
    <t>D2.8 #63</t>
  </si>
  <si>
    <t>8.8 #5</t>
  </si>
  <si>
    <t>มีกระบวนการหรือเครื่องมือตรวจจับการแก้ไขเปลี่ยนแปลงไฟล์หรือการตั้งค่า (configuration) บนระบบ IT หรืออุปกรณ์ที่มีนัยสำคัญ เช่น การทำ file integrity monitoring (FIM)/file integrity check บนเครื่องแม่ข่ายที่เชื่อมต่ออินเทอร์เน็ต และการตรวจจับการเปลี่ยนแปลงแก้ไขการตั้งค่าอุปกรณ์เครือข่ายที่สำคัญ (เช่น firewall)  เป็นต้น</t>
  </si>
  <si>
    <t>1. สัมภาษณ์ ผู้บริหารด้าน IT หรือ IT Security เกี่ยวกับการตรวจจับการแก้ไขเปลี่ยนแปลงไฟล์หรือการเปลี่ยนแปลงการตั้งค่า (configuration) บนระบบ IT หรืออุปกรณ์ที่มีนัยสำคัญ และการเปลี่ยนแปลงแก้ไขการตั้งค่าอุปกรณ์เครือข่ายที่สำคัญ
2. สอบทาน "เครื่องมือสำหรับใช้ตรวจจับการเปลี่ยนแปลง" เพื่อให้มั่นใจว่ามีกระบวนการหรือเครื่องมือตรวจจับการแก้ไขเปลี่ยนแปลงไฟล์หรือการตั้งค่า (configuration) บนระบบ IT หรืออุปกรณ์ที่มีนัยสำคัญ เช่น การทำ file integrity monitoring (FIM)/file integrity check บนเครื่องแม่ข่ายที่เชื่อมต่ออินเทอร์เน็ต และการตรวจจับการเปลี่ยนแปลงแก้ไขการตั้งค่าอุปกรณ์เครือข่ายที่สำคัญ (เช่น firewall)  เป็นต้น รวมทั้งมีการประเมินโอกาสเกิดเหตุการณ์ด้านความมั่นคงปลอดภัยสารสนเทศ</t>
  </si>
  <si>
    <t>D2.8 #64</t>
  </si>
  <si>
    <t>8.8 #6</t>
  </si>
  <si>
    <t xml:space="preserve">มีกระบวนการหรือเครื่องมือติดตามและแจ้งเตือนพฤติกรรมต้องสงสัยของผู้ใช้งาน เช่น พฤติกรรมการใช้งานเครือข่ายที่ผิดปกติ การถ่ายโอนข้อมูลเป็นจำนวนมาก การเข้าใช้งานในระบบงานในช่วงเวลาผิดปกติ หรือการเข้าใช้งานจากเครื่องคอมพิวเตอร์ที่ไม่เคยมีการใช้งาน เป็นต้น </t>
  </si>
  <si>
    <t>1. สัมภาษณ์ ผู้บริหารด้าน IT หรือ IT Security เกี่ยวกับการติดตามและแจ้งเตือนพฤติกรรมต้องสงสัยของผู้ใช้งาน เช่น พฤติกรรมการใช้งานเครือข่ายที่ผิดปกติ การถ่ายโอนข้อมูลเป็นจำนวนมาก การเข้าใช้งานในระบบงานในช่วงเวลาผิดปกติ หรือ การเข้าใช้งานจากเครื่องคอมพิวเตอร์ที่ไม่เคยมีการใช้งาน เป็นต้น รวมทั้งการประเมินโอกาสเกิดเหตุการณ์ด้านความมั่นคงปลอดภัยสารสนเทศ
2. สอบทาน "เครื่องมือสำหรับใช้ติดตามและแจ้งเตือนพฤติกรรมต้องสงสัยของผู้ใช้งาน" เพื่อให้มั่นใจว่ามีกระบวนการหรือเครื่องมือติดตามและแจ้งเตือนพฤติกรรมต้องสงสัยของผู้ใช้งาน เช่น พฤติกรรมการใช้งานเครือข่ายที่ผิดปกติ การถ่ายโอนข้อมูลเป็นจำนวนมาก การเข้าใช้งานในระบบงานในช่วงเวลาผิดปกติ หรือ การเข้าใช้งานจากเครื่องคอมพิวเตอร์ที่ไม่เคยมีการใช้งาน เป็นต้น รวมทั้งมีการประเมินโอกาสเกิดเหตุการณ์ด้านความมั่นคงปลอดภัยสารสนเทศ</t>
  </si>
  <si>
    <t xml:space="preserve">การประเมินช่องโหว่ทางเทคนิค (technical vulnerability assessment) </t>
  </si>
  <si>
    <t>D2.8 #65</t>
  </si>
  <si>
    <t>8.9 #1</t>
  </si>
  <si>
    <t>มีการกำหนดขอบเขตและความถี่ของการประเมินช่องโหว่ทางเทคนิคให้ครอบคลุมทุกระบบงานตามระดับความเสี่ยง ทั้งนี้ สำหรับระบบ IT ที่มีนัยสำคัญและระบบ IT ที่เชื่อมต่อกับเครือข่ายสาธารณะทุกระบบต้องได้รับการประเมินช่องโหว่อย่างน้อยปีละ 1 ครั้ง และทุกครั้งที่มีการเปลี่ยนแปลงระบบดังกล่าวอย่างมีนัยสำคัญ</t>
  </si>
  <si>
    <t>1. สัมภาษณ์ ผู้บริหารด้าน IT หรือ IT Security เกี่ยวกับการประเมินช่องโหว่ทางเทคนิค (technical vulnerability assessment)
2. สอบทาน "นโยบายการปฏิบัติงานทางด้านสารสนเทศ" เพื่อให้มั่นใจว่ามีการกำหนดให้มีการประเมินช่องโหว่ทางเทคนิค (technical vulnerability assessment) ที่ครอบคลุมทุกระบบงานตามระดับความเสี่ยง สำหรับระบบ IT ที่มีความสำคัญและระบบ IT ที่เชื่อมต่อกับเครือข่ายสาธารณะทุกระบบ
3. สอบทาน "รายงานผลการประเมินช่องโหว่" เพื่อให้มั่นใจว่า
    (1) มีการประเมินช่องโหว่ครอบคลุมทุกระบบงานตามระดับความเสี่ยง
    (2) มีการประเมินระบบ IT ที่มีนัยสำคัญและระบบ IT ที่เชื่อมต่อกับเครือข่ายสาธารณะทุกระบบอย่างน้อยปีละ 1 ครั้ง และทุกครั้งที่มีการเปลี่ยนแปลงระบบดังกล่าวอย่างมีนัยสำคัญ</t>
  </si>
  <si>
    <t>D2.8 #66</t>
  </si>
  <si>
    <t>8.9 #2</t>
  </si>
  <si>
    <t>มีการประเมินความเสี่ยงของช่องโหว่ที่ตรวจพบและกำหนดระยะเวลาแก้ไขที่เหมาะสมกับความเสี่ยง</t>
  </si>
  <si>
    <t>1. สอบทาน "รายงานสรุปผลการประเมินช่องโหว่" เพื่อให้มั่นใจได้ว่ามีการประเมินความเสี่ยงของช่องโหว่ที่ตรวจพบและกำหนดระยะเวลาแก้ไขที่เหมาะสมกับความเสี่ยง</t>
  </si>
  <si>
    <t>D2.8 #67</t>
  </si>
  <si>
    <t>8.9 #3</t>
  </si>
  <si>
    <t xml:space="preserve">มีการรายงานผลการประเมินช่องโหว่ไปยังผู้รับผิดชอบ </t>
  </si>
  <si>
    <t>1. สัมภาษณ์ ผู้บริหารด้าน IT หรือ IT Security เกี่ยวกับกระบวนการรายงานผลการประเมินช่องโหว่ไปยังผู้รับผิดชอบ
2. สอบทาน "การรายงานสรุปผลการประเมินช่องโหว่ทางเทคนิค (technical vulnerability assessment) ไปยังผู้รับผิดชอบที่เกี่ยวข้อง" เพื่อให้มั่นใจว่าหน่วยงานที่เกี่ยวข้องจะดำเนินการแก้ไขช่องโหว่แล้วเสร็จตามระยะเวลาที่กำหนด</t>
  </si>
  <si>
    <t>D2.8 #68</t>
  </si>
  <si>
    <t>มีการติดตามให้มีการแก้ไขช่องโหว่ภายในระยะเวลาที่กำหนดไว้ โดยนำเสนอความคืบหน้าของการดำเนินการต่อคณะกรรมการหรือผู้บริหารระดับสูงที่ได้รับมอบหมาย</t>
  </si>
  <si>
    <t xml:space="preserve">1. สัมภาษณ์ ผู้บริหารด้าน IT หรือ IT Security  เกี่ยวกับกระบวนการติดตามการแก้ไขช่องโหว่
2. สอบทาน "การติดตามการแก้ไขช่องโหว่" เพื่อให้มั่นใจว่ามีการดำเนินการปิดช่องโหว่อย่างเหมาะสมตามระดับความสำคัญภายในระยะเวลาที่กำหนด
3. สอบทาน "การรายงานความคืบหน้าของการดำเนินการต่อคณะกรรมการหรือผู้บริหารระดับสูงที่ได้รับมอบหมาย" เพื่อให้มั่นใจว่า คณะกรรมการหรือผู้บริหารระดับสูงที่ได้รับมอบหมายได้รับทราบผลการดำเนินการแก้ไขช่องโหว่ดังกล่าว </t>
  </si>
  <si>
    <t xml:space="preserve">การทดสอบการเจาะระบบ (penetration test)  </t>
  </si>
  <si>
    <t>D2.8 #69</t>
  </si>
  <si>
    <t>8.10.1</t>
  </si>
  <si>
    <t>8.10.1 #1</t>
  </si>
  <si>
    <r>
      <rPr>
        <b/>
        <sz val="10"/>
        <rFont val="Tahoma"/>
        <family val="2"/>
        <scheme val="major"/>
      </rPr>
      <t>[ผู้ประกอบธุรกิจที่มีความเสี่ยงระดับต่ำ กลาง หรือสูง]</t>
    </r>
    <r>
      <rPr>
        <sz val="10"/>
        <rFont val="Tahoma"/>
        <family val="2"/>
        <scheme val="major"/>
      </rPr>
      <t xml:space="preserve"> มีการทดสอบการเจาะระบบที่ครอบคลุมระบบงาน (application system) และระบบเครือข่ายที่มีช่องทางเชื่อมต่อกับเครือข่ายสาธารณะ (internet facing) อย่างน้อยปีละ </t>
    </r>
    <r>
      <rPr>
        <b/>
        <u/>
        <sz val="10"/>
        <rFont val="Tahoma"/>
        <family val="2"/>
        <scheme val="major"/>
      </rPr>
      <t>1</t>
    </r>
    <r>
      <rPr>
        <sz val="10"/>
        <rFont val="Tahoma"/>
        <family val="2"/>
        <scheme val="major"/>
      </rPr>
      <t xml:space="preserve"> ครั้ง และทุกครั้งที่มีการเปลี่ยนแปลงระบบดังกล่าวอย่างมีนัยสำคัญ โดยระบบอื่น ๆ ควรจัดให้มีการประเมินความเสี่ยงจากการบุกรุกผ่านระบบเครือข่ายคอมพิวเตอร์ที่ใช้สื่อสารภายในองค์กร เพื่อกำหนดขอบเขตการทดสอบการเจาะระบบตามความเหมาะสม
</t>
    </r>
    <r>
      <rPr>
        <b/>
        <sz val="10"/>
        <rFont val="Tahoma"/>
        <family val="2"/>
        <scheme val="major"/>
      </rPr>
      <t xml:space="preserve">[เฉพาะผู้ประกอบธุรกิจขนาดเล็ก] </t>
    </r>
    <r>
      <rPr>
        <sz val="10"/>
        <rFont val="Tahoma"/>
        <family val="2"/>
        <scheme val="major"/>
      </rPr>
      <t xml:space="preserve">มีการทดสอบการเจาะระบบที่ครอบคลุมระบบงาน (application system) และระบบเครือข่ายที่มีช่องทางเชื่อมต่อกับเครือข่ายสาธารณะ (internet facing) อย่างน้อยทุก </t>
    </r>
    <r>
      <rPr>
        <b/>
        <u/>
        <sz val="10"/>
        <rFont val="Tahoma"/>
        <family val="2"/>
        <scheme val="major"/>
      </rPr>
      <t>3</t>
    </r>
    <r>
      <rPr>
        <sz val="10"/>
        <rFont val="Tahoma"/>
        <family val="2"/>
        <scheme val="major"/>
      </rPr>
      <t xml:space="preserve"> ปี และทุกครั้งที่มีการเปลี่ยนแปลงระบบดังกล่าวอย่างมีนัยสำคัญ สำหรับระบบอื่น ๆ ควรจัดให้มีการประเมินความเสี่ยงจากการบุกรุกผ่านระบบเครือข่ายคอมพิวเตอร์ที่ใช้สื่อสารภายในองค์กร เพื่อกำหนดขอบเขตการทดสอบการเจาะระบบตามความเหมาะสม</t>
    </r>
  </si>
  <si>
    <t>1. สัมภาษณ์ ผู้บริหารด้าน IT หรือ IT Security  เกี่ยวกับการทดสอบการเจาะระบบ (penetration test)
2. สอบทาน "นโยบายการปฏิบัติงานทางด้านสารสนเทศ" เพื่อให้มั่นใจว่า
    (1) มีการกำหนดให้จัดให้มีการทดสอบการเจาะระบบที่ครอบคลุมระบบงาน (application system) และระบบเครือข่ายที่มีช่องทางเชื่อมต่อกับเครือข่ายสาธารณะ (Internet facing ) อย่างน้อยปีละ 1 ครั้ง (กรณีผู้ประกอบธุรกิจขนาดเล็ก อย่างน้อยทุก 3 ปี) และทุกครั้งที่มีการเปลี่ยนแปลงระบบดังกล่าวอย่างมีนัยสำคัญ
    (2) จัดให้มีการประเมินความเสี่ยงระบบอื่น ๆ จากการบุกรุกผ่านระบบเครือข่ายคอมพิวเตอร์ที่ใช้สื่อสารภายในองค์กร เพื่อกำหนดขอบเขตการทดสอบการเจาะระบบตามความเหมาะสม
3. สอบทาน "รายงานสรุปผลการทดสอบเจาะระบบ" เพื่อให้มั่นใจว่า
    (1) มีการทดสอบการเจาะระบบที่ครอบคลุมระบบงาน (application system) และระบบเครือข่ายที่มีช่องทางเชื่อมต่อกับเครือข่ายสาธารณะ (Internet facing ) อย่างน้อยปีละ 1 ครั้ง (กรณีผู้ประกอบธุรกิจขนาดเล็ก อย่างน้อยทุก 3 ปี) และทุกครั้งที่มีการเปลี่ยนแปลงระบบดังกล่าวอย่างมีนัยสำคัญ 
    (2) มีการทดสอบระบบอื่น ๆ ตามความเสี่ยงจากการบุกรุกผ่านระบบเครือข่ายคอมพิวเตอร์ที่ใช้สื่อสารภายในองค์กร</t>
  </si>
  <si>
    <t>D2.8 #70</t>
  </si>
  <si>
    <t>8.10.1 #2</t>
  </si>
  <si>
    <t xml:space="preserve">มีการประเมินความเสี่ยงของช่องโหว่ที่ตรวจพบและกำหนดระยะเวลาแก้ไขที่เหมาะสมกับความเสี่ยง </t>
  </si>
  <si>
    <t>1. สอบทาน "รายงานสรุปผลการทดสอบเจาะระบบ" เพื่อให้มั่นใจได้ว่ามีการประเมินความเสี่ยงของช่องโหว่ที่ตรวจพบและกำหนดระยะเวลาแก้ไขที่เหมาะสมกับความเสี่ยง</t>
  </si>
  <si>
    <t>D2.8 #71</t>
  </si>
  <si>
    <t>8.10.1 #3</t>
  </si>
  <si>
    <t>มีการรายงานสรุปผลการทดสอบการเจาะระบบไปยังผู้รับผิดชอบที่เกี่ยวข้อง เช่น หน่วยงานเจ้าของระบบ หน่วยงานกํากับการปฏิบัติงาน หรือหน่วยงานตรวจสอบภายใน เป็นต้น</t>
  </si>
  <si>
    <t>1. สัมภาษณ์ ผู้บริหารด้าน IT หรือ IT Security เกี่ยวกับการรายงานสรุปผลการทดสอบการเจาะระบบไปยังผู้รับผิดชอบที่เกี่ยวข้อง เช่น หน่วยงานเจ้าของระบบ หน่วยงานกำกับการปฏิบัติงาน หรือหน่วยงานตรวจสอบภายใน เป็นต้น
2. สอบทาน "การรายงานสรุปผลการทดสอบเจาะระบบไปยังผู้รับผิดชอบที่เกี่ยวข้อง" เช่น หน่วยงานเจ้าของระบบ หน่วยงานกำกับการปฏิบัติงาน หรือหน่วยงานตรวจสอบภายใน เป็นต้น เพื่อให้มั่นใจว่าหน่วยงานที่เกี่ยวข้องจะดำเนินการแก้ไขช่องโหว่แล้วเสร็จตามระยะเวลาที่กำหนด</t>
  </si>
  <si>
    <t>D2.8 #72</t>
  </si>
  <si>
    <t>1. สัมภาษณ์ ผู้บริหารด้าน IT หรือ IT Security เกี่ยวกับ
    (1) การติดตามให้มีการแก้ไขช่องโหว่ภายในระยะเวลาที่กำหนดไว้
    (2) การรายงานความคืบหน้าของการดำเนินการต่อคณะกรรมการหรือผู้บริหารระดับสูงที่ได้รับมอบหมาย
2. สอบทาน "การติดตามการแก้ไขช่องโหว่" เพื่อให้มั่นใจว่ามีการดำเนินการแกไข้ช่องโหว่อย่างเหมาะสมตามระดับความสำคัญภายในระยะเวลาที่กำหนด
3. สอบทาน "การรายงานความคืบหน้าของการดำเนินการต่อคณะกรรมการหรือผู้บริหารระดับสูงที่ได้รับมอบหมาย" เพื่อให้มั่นใจว่า คณะกรรมการหรือผู้บริหารระดับสูงที่ได้รับมอบหมายได้รับทราบผลการดำเนินการแก้ไขช่องโหว่ดังกล่าว</t>
  </si>
  <si>
    <t>D2.8 #73</t>
  </si>
  <si>
    <t>8.10.1 #4</t>
  </si>
  <si>
    <t xml:space="preserve">มีการรวบรวมและวิเคราะห์ช่องโหว่ทางเทคนิคที่ตรวจพบ เพื่อช่วยในการกำหนดมาตรการรักษาความมั่นคงปลอดภัยของระบบ IT ที่จะมีการพัฒนาในอนาคต
</t>
  </si>
  <si>
    <t>1. สอบทาน "การวิเคราะห์ช่องโหว่ทางเทคนิคที่ตรวจพบ" เพื่อให้มั่นใจได้ว่า
    (1) มีการรวบรวมและวิเคราะห์ช่องโหว่ทางเทคนิคที่ตรวจพบอย่างเป็นลายลักษณ์อักษร
    (2) มีการนำผลการวิเคราะห์ดังกล่าวมากำหนดมาตรการรักษาความมั่นคงปลอดภัยของระบบ IT ที่จะมีการพัฒนาในอนาคต</t>
  </si>
  <si>
    <t>D2.8 #74</t>
  </si>
  <si>
    <t>8.10.2</t>
  </si>
  <si>
    <t>8.10.2 #1</t>
  </si>
  <si>
    <t>มีการกำหนดให้ผู้ที่ทดสอบการเจาะระบบ เป็นผู้มีความรู้ความสามารถและเชี่ยวชาญในการทดสอบการเจาะระบบ โดยเป็นอิสระจากหน่วยงานเจ้าของระบบ และเป็นอิสระจากการพัฒนาระบบดังกล่าว</t>
  </si>
  <si>
    <t>1. สัมภาษณ์ ผู้บริหารด้าน IT หรือ IT Security เกี่ยวกับกระบวนการคัดเลือกผู้ที่ทดสอบการเจาะระบบ
2. สอบทาน "รายงานสรุปผลการทดสอบเจาะระบบ" เพื่อให้มั่นใจว่าผู้ที่ทดสอบการเจาะระบบ เป็นผู้มีความรู้ความสามารถและเชี่ยวชาญในการทดสอบการเจาะระบบ โดยเป็นอิสระจากหน่วยงานเจ้าของระบบ และเป็นอิสระจากการพัฒนาระบบดังกล่าว</t>
  </si>
  <si>
    <t>D2.8 #75</t>
  </si>
  <si>
    <t>8.10.2 #2</t>
  </si>
  <si>
    <t>มีการกำหนดคุณสมบัติให้ผู้ทดสอบเจาะระบบ (penetration tester) ที่ทำการทดสอบการเจาะระบบ IT ที่มีนัยสำคัญได้รับการรับรองและมีประกาศนียบัตร (accreditations and certifications) ที่เป็นที่ยอมรับในอุตสาหกรรมเช่น 
    (1) ประกาศนียบัตรการรับรองจากสถาบัน Council for Registered Ethical Security Testers (CREST)
    (2) ประกาศนียบัตรการรับรองจากสถาบัน Offensive Security
    (3) ประกาศนียบัตรการรับรองจากสถาบัน Global Information Assurance Certification (GIAC)
ทั้งนี้ อาจมีการพิจารณาประกาศนียบัตรการรับรองอื่นที่เทียบเคียงกับตัวอย่างได้</t>
  </si>
  <si>
    <t>1. สอบทาน "หลักฐานแสดงข้อมูล หรือ คุณสมบัติผู้ทดสอบเจาะระบบ (penetration tester) ที่ทำหน้าที่ทดสอบการเจาะระบบ IT ที่มีนัยสำคัญ ที่เชื่อมต่อกับอินเทอร์เน็ต" เพื่อให้มั่นใจว่า ผู้ทดสอบเจาะระบบได้รับการรับรองและมีประกาศนียบัตร (accreditations and certifications) ที่เป็นที่ยอมรับในอุตสาหกรรม เช่น
    (1) ประกาศนียบัตรการรับรองจากสถาบัน Council for Registered Ethical Security Testers (CREST) เช่น CREST Registered Penetration Tester, CREST Certified Web Application Tester, CREST Certified Infrastructure Tester เป็นต้น 
    (2) ประกาศนียบัตรการรับรองจากสถาบัน Offensive Security เช่น Offensive Security Certified Professional (OSCP), Offensive Security Wireless Professional (OSWP), Offensive Security Certified Expert (OSCE), Offensive Security Exploitation Expert (OSEE) และ Offensive Security Web Expert (OSWE) เป็นต้น
    (3) ประกาศนียบัตรการรับรองจากสถาบัน Global Information Assurance Certification (GIAC) เช่น GIAC Certified Incident Handler (GCIH), GIAC Mobile Device Security Analyst (GMOB), GIAC penetration tester (GPEN), GIAC Exploit Researcher and Advanced Penetration Tester (GXPN), GIAC Assessing and Auditing Wireless Networks (GAWN) และ GIAC Web Application Penetration Tester (GWAPT) เป็นต้น
ทั้งนี้ อาจมีการพิจารณาประกาศนียบัตรการรับรองอื่นที่เทียบเคียงกับตัวอย่างได้</t>
  </si>
  <si>
    <t>D2.8 #76</t>
  </si>
  <si>
    <t>8.10.3</t>
  </si>
  <si>
    <t>มีการดำเนินการแก้ไข และป้องกันภัยคุกคามทางไซเบอร์ที่อาจเกิดขึ้นอย่างทันท่วงที เพื่อขจัดความเสี่ยงจากช่องโหว่ดังกล่าว ในกรณีที่มีการตรวจพบช่องโหว่</t>
  </si>
  <si>
    <t>1. สอบทาน "ผลการดำเนินงานเพื่อปิดช่องโหว่" เพื่อให้มั่นใจว่ามีการดำเนินการปิดช่องโหว่อย่างเหมาะสมตามระดับความสำคัญภายในระยะเวลาที่กำหนด</t>
  </si>
  <si>
    <t>D2.8 #77</t>
  </si>
  <si>
    <t>8.10.4</t>
  </si>
  <si>
    <t>8.10.4 #1</t>
  </si>
  <si>
    <t>มีการจัดเก็บรายงานการดำเนินการการทดสอบเจาะระบบ (penetration test) เป็นระยะเวลาไม่น้อยกว่า 2 ปีนับแต่วันที่จัดทำเอกสารนั้น โดยต้องจัดเก็บไว้ในลักษณะที่พร้อมให้สำนักงานสามารถเรียกดูและตรวจสอบได้โดยไม่ชักช้า ครอบคลุมรายละเอียดที่สำคัญ เช่น ขอบเขตการทดสอบ ช่วงเวลาที่ทดสอบ ผู้ทำการทดสอบ วิธีการและขั้นตอนดำเนินการทดสอบเจาะระบบ และช่องโหว่ที่ตรวจพบ รวมถึงแผนการปรับปรุงแก้ไขช่องโหว่ตามระดับความเสี่ยง เป็นต้น</t>
  </si>
  <si>
    <t>1. สอบทาน "นโยบายการปฏิบัติงานทางด้านสารสนเทศ" เพื่อให้มั่นใจว่ามีการให้จัดเก็บบันทึกการดำเนินงานในกิจกรรมที่เกี่ยวข้องกับการทดสอบเจาะระบบ (pentration test)
2. สุ่มสอบทาน "รายงานผลการทดสอบเจาะระบบ (penetration test) ย้อนหลัง" เพื่อให้มั่นใจว่า
    (1) มีการจัดเก็บรายงานการดำเนินการการทดสอบเจาะระบบ (penetration test) ไม่น้อยกว่า 2 ปีนับแต่วันที่จัดทำเอกสารนั้น
    (2) เนื้อหาของรายงานผลการทดสอบเจาะระบบ (penetration test) ครอบคลุมรายละเอียดที่สำคัญ เช่น ขอบเขตการทดสอบ ช่วงเวลาที่ทดสอบ ผู้ทำการทดสอบ วิธีการและขั้นตอนดำเนินการทดสอบเจาะระบบ และช่องโหว่ที่ตรวจพบ รวมถึงแผนการปรับปรุงแก้ไขช่องโหว่ตามระดับความเสี่ยง เป็นต้น</t>
  </si>
  <si>
    <t>D2.8 #78</t>
  </si>
  <si>
    <t>8.10.5</t>
  </si>
  <si>
    <t>มีการนำส่งรายงานผลการเจาะระบบโดยไม่ชักช้าเมื่อได้รับการแจ้งจากสำนักงาน ตามวิธีการที่กำหนดไว้บนเว็บไซต์ของสำนักงาน</t>
  </si>
  <si>
    <t>การบริหารจัดการโปรแกรมแก้ไขช่องโหว่ (patch management)</t>
  </si>
  <si>
    <t>D2.8 #79</t>
  </si>
  <si>
    <t>8.11</t>
  </si>
  <si>
    <t>8.11 #1</t>
  </si>
  <si>
    <t>มีการกำหนดมาตรฐานและระเบียบวิธีปฏิบัติในการบริหารจัดการโปรแกรมแก้ไขช่องโหว่ (patch) ที่ครอบคลุมการดำเนินการอย่างน้อย ดังนี้
    (1) การประเมินความเสี่ยงและความจำเป็นในการติดตั้ง patch 
    (2) การกำหนดกรอบระยะเวลาการติดตั้ง patch โดยคำนึงถึงความจำเป็นและความเสี่ยงจากการถูกโจมตีจากช่องโหว่
    (3) การตรวจสอบความถูกต้องและการทดสอบ patch ก่อนการดำเนินการติดตั้งบนระบบที่ให้บริการจริง เพื่อป้องกันผลกระทบที่ไม่พึงประสงค์จากการติดตั้ง patch ทั้งนี้ ในกรณีที่มีข้อจำกัดในการทดสอบ patch ผู้ประกอบธุรกิจ อาจพิจารณาการควบคุมอื่น ๆ ทดแทน</t>
  </si>
  <si>
    <t>1. สัมภาษณ์ ผู้บริหารด้าน IT หรือ IT Security เกี่ยวกับวิธีปฏิบัติในการบริหารจัดการโปรแกรมแก้ไขช่องโหว่ (patch)
2. สอบทาน "นโยบายการปฏิบัติงานทางด้านสารสนเทศ หรือ ระเบียบวิธีปฏิบัติในการบริหารจัดการโปรแกรมแก้ไขช่องโหว่ (patch)" เพื่อให้มั่นใจว่า มีการกำหนดมาตรฐานและระเบียบวิธีปฏิบัติในการบริหารจัดการโปรแกรมแก้ไขช่องโหว่ (patch) ที่ครอบคลุมการดำเนินการอย่างน้อย ดังนี้
   (1) การประเมินความเสี่ยงและความจำเป็นในการติดตั้ง patch 
   (2) การกำหนดกรอบระยะเวลาการติดตั้ง patch โดยคำนึงถึงความจำเป็นและความเสี่ยงจากการถูกโจมตีจากช่องโหว่
   (3) การตรวจสอบความถูกต้องและการทดสอบ patch ก่อนการดำเนินการติดตั้งบนระบบที่ให้บริการจริง เพื่อป้องกันผลกระทบที่ไม่พึงประสงค์จากการติดตั้ง patch  ทั้งนี้ ในกรณีที่มีข้อจำกัดในการทดสอบ patch ผู้ประกอบธุรกิจ อาจพิจารณาการควบคุมอื่น ๆ ทดแทน โดยต้องมีการทบทวนข้อจำกัดอย่างสม่ำเสมอและมีการรักษาความมั่นคงปลอดภัยอย่างเหมาะสม</t>
  </si>
  <si>
    <t>D2.8 #80</t>
  </si>
  <si>
    <t>8.11 #2</t>
  </si>
  <si>
    <t xml:space="preserve">มีการบันทึกและจัดเก็บหลักฐานการติดตั้ง patch บนระบบงานจริง โดยดำเนินการตามกระบวนการบริหารจัดการการเปลี่ยนแปลง (change management) ที่กำหนดไว้อย่างเหมาะสม เพื่อป้องกันความเสี่ยงและข้อผิดพลาดจากการปฏิบัติงาน 
</t>
  </si>
  <si>
    <t>1. สุ่มสอบทาน “เอกสารคำร้องขอติดตั้ง patch หรือ เอกสารประกอบการติดตั้ง patch” เพื่อให้มั่นใจว่ามีการดำเนินการการติดตั้ง patch โดยใช้กระบวนการบริหารจัดการการเปลี่ยนแปลง (change management) ซึ่งประกอบด้วยรายละเอียดอย่างน้อย ดังนี้
    (1) การวิเคราะห์ผลกระทบและความเสี่ยง
    (2) การทดสอบ patch ก่อนดำเนินการการติดตั้งบนระบบที่ให้บริการจริง
    (3) การอนุมัติโดยผู้มีอำนาจ
    (4) การติดตั้งในระบบงานจริง
    (5) แผนการย้อนกลับ (rollback plan) ในกรณีติดตั้งไม่สำเร็จ</t>
  </si>
  <si>
    <t>D2.8 #81</t>
  </si>
  <si>
    <t>8.11 #3</t>
  </si>
  <si>
    <t>กรณีมีเหตุที่ผู้ผลิตระบบงานหรืออุปกรณ์ยังไม่แจ้งการปรับปรุง security patch อย่างเป็นทางการเพื่อปิดช่องโหว่ใหม่ ๆ ที่เพิ่งค้นพบ กำหนดให้มีการปฏิบัติตามคำแนะนำของผู้พัฒนาระบบ เจ้าของผลิตภัณฑ์ หรือผู้เชี่ยวชาญด้านความมั่นคงปลอดภัย หรือจัดให้มีมาตรการควบคุมทดแทน เพื่อลดความเสี่ยงจากการถูกโจมตีผ่านช่องโหว่นั้น ๆ</t>
  </si>
  <si>
    <t>1. สัมภาษณ์ ผู้บริหารด้าน IT หรือ IT Security เกี่ยวกับวิธีปฏิบัติในการป้องกันช่องโหว่ใหม่ ๆ ที่เพิ่งขึ้นค้นพบ (zero day)
2. สอบทาน "การดำเนินการป้องกันป้องกันช่องโหว่ใหม่ ๆ ที่เพิ่งขึ้นค้นพบ (zero day)" เพื่อให้มั่นใจว่ามีการปฏิบัติตามคำแนะนำของผู้พัฒนาระบบ เจ้าของผลิตภัณฑ์ หรือผู้เชี่ยวชาญด้านความมั่นคงปลอดภัย และมีการประเมินความเสี่ยงที่เกี่ยวข้องอย่างเหมาะสม รวมทั้งมีการจัดเก็บข้อมูลนั้น ๆ เป็นลายลักษณ์อักษรและการติดตามคำแนะนำอย่างสม่ำเสมอ หรือมีการจัดให้มีมาตรการควบคุมทดแทน เพื่อลดความเสี่ยงจากการถูกโจมตีผ่านช่องโหว่นั้น ๆ</t>
  </si>
  <si>
    <t>D2.8 #82</t>
  </si>
  <si>
    <t>8.11 #4</t>
  </si>
  <si>
    <t>มีการติดตั้งเครื่องมือที่ใช้ติดตาม patch ด้านการรักษาความปลอดภัย (patch monitoring tool)  ที่ยังไม่มีการติดตั้งบนระบบปฏิบัติการ (operation system) และระบบฐานข้อมูล (database system) ที่สำคัญของผู้ประกอบธุรกิจ</t>
  </si>
  <si>
    <t>1. สังเกตการณ์ "เครื่องมือที่ใช้ในการบริหารจัดการ patch (patch monitoring tool)" เพื่อให้มั่นใจว่า
    (1) มีการปรับปรุงข้อมูล patch จากผู้ผลิตระบบงานหรืออุปกรณ์อย่างสม่ำเสมอ
    (2) มีการตรวจสอบการติดตั้ง patch บนระบบปฏิบัติการ (operation system) และระบบฐานข้อมูล (database system) ที่สำคัญของผู้ประกอบธุรกิจ
    (3) มีการรายงานและแจ้งเตือนระบบปฏิบัติการ (operation system) และระบบฐานข้อมูล (database system) ที่สำคัญของผู้ประกอบธุรกิจที่ไม่ได้รับการติดตั้ง patch ด้านการรักษาความปลอดภัยอย่างสม่ำเสมอ รวมทั้งมีการประเมินความเสี่ยงและมาตรการรองรับที่เหมาะสม</t>
  </si>
  <si>
    <t>ส่วนที่ 9 การรักษาความมั่นคงปลอดภัยเกี่ยวกับระบบเครือข่ายสื่อสาร (communication system security)</t>
  </si>
  <si>
    <t>D2.9 #1</t>
  </si>
  <si>
    <t>1(1),1(3)</t>
  </si>
  <si>
    <t>9 #1(1),1(3)</t>
  </si>
  <si>
    <t xml:space="preserve">มีการออกแบบแผนผังโครงสร้างระบบเครือข่าย (network diagram) และแบ่งแยกระบบเครือข่ายอย่างรัดกุมปลอดภัย ให้สอดคล้องกับลักษณะการใช้งาน ความเสี่ยง และความสำคัญ โดยควรมีการดำเนินการอย่างน้อย ดังนี้
    (1) แบ่งแยกเครือข่ายภายใน (private network) และเครือข่ายภายนอก (public network) ออกจากกัน
    (2) แบ่งแยกเครือข่ายของระบบ IT ที่มีนัยสำคัญ เครือข่ายสำหรับการปฏิบัติงานของพนักงาน และเครือข่ายสำหรับการใช้งานทั่วไป/เครือข่ายสำหรับบุคคลภายนอก (guest network) ออกจากกัน
    (3) จุดที่มีการแบ่งแยกเครือข่ายที่มีความสำคัญและมีความเสี่ยง ควรติดตั้งอุปกรณ์รักษาความปลอดภัยเครือข่ายที่มีความสามารถในการควบคุมและคัดกรองข้อมูล (traffic) ที่รับส่งผ่านเครือข่าย เพื่อป้องกันและตรวจจับการบุกรุกของไวรัสหรือโปรแกรมไม่ประสงค์ดี (มัลแวร์) ต่าง ๆ  
</t>
  </si>
  <si>
    <t>1. สัมภาษณ์ ผู้บริหารด้าน IT หรือ Network เกี่ยวกับการออกแบบเครือข่ายสื่อสารที่มีการแบ่งแยกเครือข่ายอย่างเหมาะสม โดยคำนึงถึงระดับความสำคัญของระบบงาน (application system) ระดับความสำคัญของข้อมูล รวมถึงความจำเป็นในการเชื่อมต่อจากระบบงานอื่น ๆ หรือจากภายนอกองค์กร
2. สอบทาน “แผนผังโครงสร้างระบบเครือข่าย (network diagram) และแผนภาพการไหลของข้อมูล (data flow diagram)” เพื่อให้มั่นใจว่า
    (1) มีการออกแบบเครือข่ายสื่อสารที่มีการแบ่งแยกเครือข่ายอย่างเหมาะสม โดยพิจารณาว่ามีการแบ่งเครือข่ายอย่างน้อย ดังนี้
       (ก) มีการแบ่งแยกเครือข่ายภายใน (private network) และเครือข่ายภายนอก (public network) ออกจากกัน เช่น มีการแบ่งแยกเครือขององค์กรกับเครือข่ายจากผู้ให้บริการ cloud platform และอนุญาตเฉพาะการเชื่อมต่อระหว่างเครือข่ายดังกล่าว ที่เชื่อถือได้เท่านั้น
       (ข) มีการแบ่งแยกเครือข่ายของระบบ IT ที่มีนัยสำคัญ เครือข่ายสำหรับการปฏิบัติงานของพนักงาน และเครือข่ายสำหรับการใช้งานทั่วไป/เครือข่ายสำหรับบุคคลภายนอก (guest network) ออกจากกัน
    (2) มีการป้องกันและตรวจจับ การเข้าถึงและการใช้งานทาง logical โดยไม่ได้รับอนุญาตหรือการบุกรุกของไวรัสหรือมัลแวร์ต่าง ๆ ในจุดที่มีการแบ่งแยกเครือข่ายที่มีความสำคัญและมีความเสี่ยง โดยการติดตั้งอุปกรณ์รักษาความปลอดภัยเครือข่าย ที่มีความสามารถในการควบคุมและคัดกรองข้อมูล (traffic) ที่รับส่งผ่านเครือข่าย
    (3) มีการอนุมัติโดยผู้มีอำนาจ
    (4) มีการทบทวนอย่างสม่ำเสมอ</t>
  </si>
  <si>
    <t>D2.9 #2</t>
  </si>
  <si>
    <t>9 #1(2)</t>
  </si>
  <si>
    <t>มีการควบคุมการเชื่อมต่อของ ระบบงาน (application system) ที่มีความสำคัญอย่างเข้มงวด</t>
  </si>
  <si>
    <t>1. สัมภาษณ์ ผู้บริหารด้าน IT หรือ Network เกี่ยวกับการควบคุมการเชื่อมต่อระบบงานผ่าน API (application programming interface) ทั้งในกรณีที่บริษัทไปเชื่อมต่อกับระบบงานของบุคคลภายนอกหรือกรณีที่บุคคลภายนอกเชื่อมต่อกับระบบงานของบริษัท
2. สอบทาน “การควบคุมการเชื่อมต่อระบบงานผ่าน API” เพื่อให้มั่นใจว่ามีการควบคุมการเชื่อมต่อของระบบงาน (application system) ที่มีความสำคัญอย่างเข้มงวด และมีการรักษาความมั่นคงปลอดภัยอย่างเหมาะสม</t>
  </si>
  <si>
    <t>D2.9 #3</t>
  </si>
  <si>
    <t>9 #1(4)</t>
  </si>
  <si>
    <t>มีการควบคุม และจำกัดให้มีเฉพาะอุปกรณ์ที่ได้รับอนุญาตเท่านั้นที่สามารถเชื่อมต่อกับระบบเครือข่ายภายในได้</t>
  </si>
  <si>
    <t>1. สัมภาษณ์ ผู้บริหารด้าน IT หรือ Network เกี่ยวกับการควบคุมและจำกัดอุปกรณ์ที่สามารถเชื่อมต่อกับระบบเครือข่ายภายใน
2. สอบทาน "กระบวนการหรือเครื่องที่ใช้ในการควบคุมและจำกัดอุปกรณ์ที่สามารถเชื่อมต่อกับระบบเครือข่ายภายใน" เพื่อให้มั่นใจว่ามีการควบคุม และจำกัดให้มีเฉพาะอุปกรณ์ที่ได้รับอนุญาตเท่านั้นที่สามารถเชื่อมต่อกับระบบเครือข่ายภายในได้</t>
  </si>
  <si>
    <t>D2.9 #4</t>
  </si>
  <si>
    <t>9 #1(5)</t>
  </si>
  <si>
    <t>มีการเปิดใช้งาน ช่องทางเชื่อมต่อการให้บริการ (service port) ที่เชื่อมต่อตามความจำเป็น รวมถึงมีการอนุมัติเปิดใช้งานช่องทางเชื่อมต่อ (port) จากผู้มีอำนาจและจัดให้มีการควบคุมอย่างเหมาะสม</t>
  </si>
  <si>
    <t>1. สัมภาษณ์ ผู้บริหารด้าน IT หรือ Network เกี่ยวกับการจำกัดการใช้ช่องทางเชื่อมต่อการให้บริการ (service port) รวมทั้ง การขออนุมัติเปิดใช้งานช่องทางเชื่อมต่อ (port) กรณีมีความจำเป็นต้องใช้งานจากผู้มีอำนาจและจัดให้มีการควบคุมอย่างเหมาะสม
2. สุ่มสอบทาน "การเปิดใช้งาน service port ของเครื่องแม่ข่ายหรืออุปกรณ์เครือข่ายที่มีนัยสำคัญ" เทียบกับ "รายการ service port ที่อนุญาตให้ใช้งาน" เพื่อให้มั่นใจว่ามีการเปิดใช้งาน service port ตามที่ได้รับอนุญาตเท่านั้น
3. สุ่มสอบทาน "เอกสารร้องขอการเปิดใช้งาน service port" เพื่อให้มั่นใจว่าการขอเปิดใช้งาน service port ได้รับการพิจารณาและอนุมัติจากผู้มีอำนาจอย่างเหมาะสม
(M4) 4. สอบทาน "หลักฐานการสอบทานการเปิดใช้งาน service port บนระบบงานที่สำคัญ" โดย บุคคลหรือหน่วยงานที่มีความเป็นอิสระจากหน่วยงานที่ทำหน้าที่ปฏิบัติงาน เพื่อให้มั่นใจว่ามีการเปิดใช้งาน service port เท่าที่ได้รับการอนุมัติแล้วเท่านั้น
(M5) 5. สังเกตการณ์การใช้เครื่องมืออัตโนมัติ (automated tools) เพื่อตรวจจับการเปิดใช้งาน หรือการเปลี่ยนแปลง service port ที่ไม่ได้รับอนุญาตโดยอัตโนมัติ อย่างสม่ำเสมอ</t>
  </si>
  <si>
    <t xml:space="preserve">ไม่มีกระบวนการบริหารจัดการและขออนุมัติเพื่อเปิดใช้งาน service port ที่เชื่อมต่อตามความจำเป็น </t>
  </si>
  <si>
    <t>มีการเปิดใช้งาน service port ที่เชื่อมต่อตามความจำเป็น แต่ไม่มีการขออนุมัติจากผู้มีอำนาจเป็นลายลักษณ์อักษร</t>
  </si>
  <si>
    <t>มีการเปิดใช้งาน service port ที่เชื่อมต่อตามความจำเป็น รวมถึงมีการขออนุมัติจากผู้มีอำนาจเป็นลายลักษณ์อักษรอย่างเหมาะสม</t>
  </si>
  <si>
    <t>มีการจัดทำตาม Maturity Level 3 รวมถึงมีการสอบทาน "การเปิดใช้งาน service port" อย่างน้อยปีละ 1 ครั้ง โดยบุคคลหรือหน่วยงานที่มีความเป็นอิสระจากหน่วยงานที่ทำหน้าที่ปฏิบัติงานเพื่อให้มั่นใจได้ว่า service port ที่เปิดใช้งานเป็นไปตามที่ได้รับการอนุมัติ</t>
  </si>
  <si>
    <t>มีการจัดทำตาม Maturity Level 4 รวมถึงมีการใช้งานเครื่องมืออัตโนมัติ (automated tools) ในการตรวจจับการเปิดใช้งานหรือการเปลี่ยนแปลงของ service port โดยไม่ได้รับอนุญาต อย่างสม่ำเสมอ</t>
  </si>
  <si>
    <t>D2.9 #5</t>
  </si>
  <si>
    <t>9 #1(6)</t>
  </si>
  <si>
    <t>มีการกำหนดมาตรฐานการให้บริการ (service level agreement : SLA) และกำหนดให้มีการติดตามสถานะความพร้อมใช้งานของระบบเครือข่ายให้อยู่ในระดับ SLA ที่กำหนดไว้</t>
  </si>
  <si>
    <t>1. สัมภาษณ์ ผู้บริหารด้าน IT หรือ Network เกี่ยวกับ
    (1) การกำหนดมาตรฐานการให้บริการ (service level agreement : SLA)
    (2) การติดตามสถานะความพร้อมใช้งานของระบบเครือข่ายให้อยู่ในระดับ SLA ที่กำหนดไว้
2. สอบทาน "รายงานสรุปความพร้อมใช้งานของระบบเครือข่าย" เพื่อให้มั่นใจว่า
    (1) มีการติดตามสถานะความพร้อมใช้งานของระบบเครือข่ายให้อยู่ในระดับ SLA ที่กำหนดไว้
    (2) มีการรายงานสถานะความพร้อมใช้งานของระบบเครือข่ายให้ผู้บริหารรับทราบ</t>
  </si>
  <si>
    <t>D2.9 #6</t>
  </si>
  <si>
    <t>1(7)</t>
  </si>
  <si>
    <t>9 #1(7)</t>
  </si>
  <si>
    <t xml:space="preserve">มีระบบหรือมาตรการตรวจจับ ป้องกันและระงับยับยั้งการโจมตีจากเครือข่ายสาธารณะตามความเสี่ยงอย่างเหมาะสม เช่น การใช้อุปกรณ์การรักษาความปลอดภัย intrusion prevention system (IPS) และการป้องกันการโจมตีแบบ DDoS (DDoS protection) เป็นต้น </t>
  </si>
  <si>
    <t xml:space="preserve">1. สัมภาษณ์ ผู้บริหารด้าน IT Security หรือ Network เกี่ยวกับระบบหรือมาตรการตรวจจับ ป้องกันและระงับยับยั้งการโจมตีจากผู้ไม่ประสงค์ดี
2. สอบทาน "กระบวนการหรือเครื่องมื่อที่ใช้" เพื่อตรวจจับ ป้องกันและระงับยับยั้งการโจมตีจากผู้ไม่ประสงค์ดีจากเครือข่ายสาธารณะ เช่น การใช้อุปกรณ์ IDS/IPS การใช้มาตรการป้องกันการปลอม IP address (IP anti-spoof) บนอุปกรณ์ firewall หรือ การป้องกันการโจมตีแบบ DDoS (DDoS protection) เป็นต้น
</t>
  </si>
  <si>
    <t>D2.9 #7</t>
  </si>
  <si>
    <t>1(8)</t>
  </si>
  <si>
    <t>9 #1(8)</t>
  </si>
  <si>
    <t xml:space="preserve">มีการติดตั้งอุปกรณ์รักษาความปลอดภัยเครือข่ายเพื่อคัดกรอง traffic ในระดับ application ในจุดที่มีการเชื่อมต่อกับเครือข่ายสาธารณะ เช่น การใช้ web application firewall (WAF) เป็นต้น  </t>
  </si>
  <si>
    <t>1. สังเกตการณ์การติดตั้งอุปกรณ์รักษาความปลอดภัยเครือข่ายเพื่อคัดกรอง traffic ในระดับ application ในจุดที่มีการเชื่อมต่อกับเครือข่ายสาธารณะ เพื่อป้องกันการเชื่อมต่อ เข้าถึงหรือใช้งานจากผู้ที่ไม่ได้รับอนุญาต เช่น การใช้ web application firewall (WAF) เป็นต้น</t>
  </si>
  <si>
    <t>D2.9 #8</t>
  </si>
  <si>
    <t>1(9)</t>
  </si>
  <si>
    <t>9 #1(9)</t>
  </si>
  <si>
    <t>มีการแยกเครือข่ายเฉพาะสำหรับบริหารจัดการหรือตั้งค่า (config) ของอุปกรณ์เครือข่าย และอุปกรณ์รักษาความปลอดภัย ออกจากเครือข่ายปกติ เพื่อลดความเสี่ยงในการเปลี่ยนแปลงการตั้งค่า (config) ของอุปกรณ์เครือข่ายและอุปกรณ์รักษาความปลอดภัยเครือข่ายโดยบุคคลที่ไม่ได้รับอนุญาต</t>
  </si>
  <si>
    <t>1. สังเกตการณ์การแยกเครือข่ายของการเข้าถึงอุปกรณ์เครือข่าย และอุปกรณ์รักษาความปลอดภัยเพื่อบริหารจัดการหรือตั้งค่า (config) ต่าง ๆ เพื่อให้มั่นใจว่ามีการทำผ่านเครือข่ายเฉพาะที่แยกออกจากเครือข่ายปกติ</t>
  </si>
  <si>
    <t>D2.9 #9</t>
  </si>
  <si>
    <t>9 #2(1)</t>
  </si>
  <si>
    <t>มีการกำหนดแนวปฏิบัติที่ดีในการรับส่งข้อมูลสารสนเทศผ่านช่องทางการสื่อสารอิเล็กทรอนิกส์ประเภทต่าง ๆ</t>
  </si>
  <si>
    <t>1. สัมภาษณ์ ผู้บริหารด้าน IT หรือ IT Security เกี่ยวกับการกำหนดแนวปฏิบัติในการรับส่งข้อมูลสารสนเทศผ่านช่องทางการสื่อสารอิเล็กทรอนิกส์
2. สอบทาน "แนวปฏิบัติในการรับส่งข้อมูลสารสนเทศ" เพื่อให้มั่นใจว่ามีการกำหนดมาตรการรักษาความมั่นคงปลอดภัยของข้อมูลสารสนเทศที่รับส่งผ่านระบบเครือข่ายสื่อสาร (information transfer) อย่างเหมาะสม เช่น กำหนดให้มีรับส่งข้อมูลผ่านช่องทางที่ปลอดภัย ได้แก่ HTTPs, FTPS, SFTP, SCP, SSH, POP3S, IMAPS, SMTPS เป็นต้น</t>
  </si>
  <si>
    <t>D2.9 #10</t>
  </si>
  <si>
    <t>9 #2(2)</t>
  </si>
  <si>
    <t>มีการเข้ารหัสข้อมูลที่เป็นความลับและมีความสำคัญ ที่รับส่งผ่านระบบเครือข่ายสื่อสาร</t>
  </si>
  <si>
    <t>1. สัมภาษณ์ ผู้บริหารด้าน IT หรือ IT Security  เกี่ยวกับ การเข้ารหัสข้อมูลที่รับส่งผ่านระบบเครือข่ายสื่อสาร
2. สอบทาน "การเข้ารหัสข้อมูลที่รับส่งผ่านระบบเครือข่ายสื่อสาร (protocol/encryption algorithm)" เพื่อให้มั่นใจว่าข้อมูลสารสนเทศที่เป็นความลับและมีความสำคัญมีการรักษาความปลอดภัยอย่างเหมาะสม และเป็นไปตามการจำกัดการเข้าถึงข้อมูลและนโยบายการควบคุมการเข้าถึงที่เกี่ยวข้อง</t>
  </si>
  <si>
    <t>D2.9 #11</t>
  </si>
  <si>
    <t>9 #2(3)</t>
  </si>
  <si>
    <t xml:space="preserve">มีการป้องกันข้อมูลที่มีชั้นความลับหรือมีความสำคัญที่รับส่งในรูปแบบของไฟล์แนบ (attachment files) และการส่งต่ออีเมลแบบอัตโนมัติ (auto forward mail) ออกสู่ภายนอกองค์กร </t>
  </si>
  <si>
    <t>1. สัมภาษณ์ ผู้บริหารด้าน IT หรือ IT Security เกี่ยวกับ การป้องกันข้อมูลที่เป็นความลับหรือมีความสำคัญที่รับส่งในรูปแบบของไฟล์แนบ (attachment files) และการส่งต่ออีเมลแบบอัตโนมัติ (auto forward mail) ออกสู่ภายนอกองค์กร
2. สอบทาน “การตั้งค่าของระบบอีเมล” โดยพิจารณาว่า มีการป้องกันผู้ใช้งานทำการส่งต่ออีเมลแบบอัตโนมัติ (auto forward mail) ออกสู่ภายนอกองค์กร เพื่อให้มั่นใจว่ามีการป้องกันข้อมูลที่มีชั้นความลับหรือมีความสำคัญที่รับส่งในรูปแบบของไฟล์แนบ (attachment files) และการส่งต่ออีเมลแบบอัตโนมัติ (auto forward mail) ออกสู่ภายนอกองค์กร</t>
  </si>
  <si>
    <t>D2.9 #12</t>
  </si>
  <si>
    <t>9 #3(1)</t>
  </si>
  <si>
    <t xml:space="preserve">มีการกำหนดมาตรการในการรักษาความมั่นคงปลอดภัยของข้อมูลสารสนเทศที่รับส่งผ่านระบบเครือข่ายสื่อสาร  (electronic messaging) เพื่อป้องกันการเปลี่ยนแปลงแก้ไข ทําความเสียหาย หรือเข้าถึงข้อมูลในระบบ electronic messaging ดังกล่าวโดยไม่ได้รับอนุญาต </t>
  </si>
  <si>
    <t>1. สัมภาษณ์ ผู้บริหารด้าน IT หรือ IT Security เกี่ยวกับ มาตรการในการรักษาความมั่นคงปลอดภัยของข้อมูลสารสนเทศที่รับส่งผ่านระบบเครือข่ายสื่อสาร  (electronic messaging) รวมทั้งการดำเนินการ และการติดตามที่เกี่ยวข้อง
2. สอบทาน “มาตรฐานในการรักษาความมั่นคงปลอดภัยของข้อมูลสารสนเทศที่รับส่งผ่านระบบเครือข่ายสื่อสาร (electronic messaging)” เพื่อให้มั่นใจว่ามีมาตรการในการรักษาความมั่นคงปลอดภัยของข้อมูลสารสนเทศที่รับส่งผ่านระบบเครือข่ายสื่อสาร  (electronic messaging) เช่น
   (1) การป้องกันการเปลี่ยนแปลงแก้ไข ทำความเสียหาย หรือเข้าถึงข้อมูล
   (2) การยืนยันตัวตนผู้ใช้งานอย่างเข้มงวดในกรณีที่ใช้งานผ่านเครือข่ายสาธารณะ
   (3) การควบคุมดูแลอย่างเหมาะสมเพียงพอ และคำนึงถึงการปฏิบัติตามกฎหมายและหลักเกณฑ์ที่เกี่ยวข้องอย่างเคร่งครัด กรณีที่มีการใช้งานระบบรับส่งข้อมูลสารสนเทศผ่านระบบเครือข่ายสื่อสาร (electronic messaging) ที่ให้บริการโดยบุคคลภายนอก
   (4) การคัดกรอง (filter) อีเมลที่มีความเสี่ยงต่อการเกิดภัยคุกคามทางไซเบอร์ เช่น อีเมลที่มีไฟล์แนบชนิด .exe เป็นต้น</t>
  </si>
  <si>
    <t>D2.9 #13</t>
  </si>
  <si>
    <t>9 #3(2)</t>
  </si>
  <si>
    <t>มีกระบวนการยืนยันตัวตนผู้ใช้งานที่เหมาะสม โดยใช้วิธีการที่เข้มงวดในกรณีที่ใช้งานระบบรับส่งข้อมูลสารสนเทศผ่านระบบเครือข่ายสื่อสาร (ระบบ electronic messaging) ผ่านเครือข่ายสาธารณะ</t>
  </si>
  <si>
    <t xml:space="preserve">1. สัมภาษณ์ ผู้บริหารด้าน IT หรือ IT Security  เกี่ยวกับการยืนยันตัวตนผู้ใช้งานกรณีที่ใช้งานระบบรับส่งข้อมูลสารสนเทศผ่านระบบเครือข่ายสื่อสาร (ระบบ electronic messaging) ผ่านเครือข่ายสาธารณะ
2. สังเกตการณ์ “กระบวนการยืนยันตัวตนผู้ใช้งานเพื่อใช้งานระบบรับส่งข้อมูลสารสนเทศผ่านระบบเครือข่ายสื่อสาร (ระบบ electronic messaging) ผ่านเครือข่ายสาธารณะ” เพื่อให้มั่นใจว่ามีการยืนยันตัวตนผู้ใช้งาน โดยใช้วิธีการที่เข้มงวดรัดกุม  รวมทั้งสอดคล้องกับมาตรการการจำกัดการเข้าถึงข้อมูลและนโยบายการควบคุมการเข้าถึงที่เกี่ยวข้อง
</t>
  </si>
  <si>
    <t>D2.9 #14</t>
  </si>
  <si>
    <t>3((3)</t>
  </si>
  <si>
    <t>9 #3(3)</t>
  </si>
  <si>
    <t>มีการควบคุมดูแลการใช้งานระบบรับส่งข้อมูลสารสนเทศผ่านระบบเครือข่ายสื่อสาร (ระบบ electronic messaging) ที่ให้บริการโดยบุคคลภายนอกอย่างเหมาะสมเพียงพอ  เช่น โปรแกรมสนทนาผ่านระบบอิเล็กทรอนิกส์ (instant messaging) ระบบเครือข่ายสังคมออนไลน์ (social networking) หรือโปรแกรมเรียกใช้แฟ้มข้อมูลร่วมกัน (file sharing) เป็นต้น อย่างเหมาะสมเพียงพอ เช่น มีการขออนุมัติก่อนการใช้งาน รวมถึงควรปฏิบัติตามกฎหมายและหลักเกณฑ์ของทางการอย่างเคร่งครัด</t>
  </si>
  <si>
    <t>1. สัมภาษณ์ ผู้บริหารด้าน IT หรือ IT Security เกี่ยวกับการควบคุมดูแลการใช้งานระบบรับส่งข้อมูลสารสนเทศผ่านระบบเครือข่ายสื่อสาร (ระบบ electronic messaging) ที่ให้บริการโดยบุคคลภายนอกอย่างเหมาะสมเพียงพอเพื่อการปฏิบัติงาน เช่น โปรแกรมสนทนาผ่านระบบอิเล็กทรอนิกส์ (instant messaging) ระบบเครือข่ายสังคมออนไลน์ (social networking) หรือโปรแกรมเรียกใช้แฟ้มข้อมูลร่วมกัน (file sharing)
2. สอบทาน "การควบคุมดูแลการใช้งานระบบรับส่งข้อมูลสารสนเทศผ่านระบบเครือข่ายคอมพิวเตอร์ที่ให้บริการโดยบุคคลภายนอก" เพื่อให้มั่นใจว่า
    (1) มีการติดตามและประเมินความเสี่ยงจากการใช้งานระบบรับส่งข้อมูลสารสนเทศที่ให้บริการโดยบุคคลภายนอก
    (2) มีการพิจารณาและอนุมัติการใช้งานโดยผู้มีอำนาจอย่างเหมาะสม
    (3) มีการควบคุมให้มีการปฏิบัติตามกฎหมายและหลักเกณฑ์ของทางการอย่างเคร่งครัด</t>
  </si>
  <si>
    <t>D2.9 #15</t>
  </si>
  <si>
    <t>9 #3(4)</t>
  </si>
  <si>
    <t>มีมาตรการคัดกรอง (filter) อีเมลที่มีความเสี่ยงต่อการเกิดภัยคุกคามทางไซเบอร์ เช่น อีเมลที่มีไฟล์แนบชนิด .exe เป็นต้น</t>
  </si>
  <si>
    <t>1. สัมภาษณ์ ผู้บริหารหน่วยงานด้านการรักษาความปลอดภัย IT เกี่ยวกับการจัดให้มีมาตรการคัดกรอง (filter) อีเมลที่มีความเสี่ยงต่อการเกิดภัยคุกคามทางไซเบอร์ เช่น อีเมลที่มีไฟล์แนบชนิด .exe เป็นต้น
2. สอบทาน "การตั้งค่าให้มีการคัดกรองอีเมล" เพื่อให้มั่นใจว่ามีการคัดกรอง (filter) อีเมลที่มีความเสี่ยงต่อการเกิดภัยคุกคามทางไซเบอร์ เช่น อีเมลที่มีไฟล์แนบชนิด .exe เป็นต้น</t>
  </si>
  <si>
    <t>D2.9 #16</t>
  </si>
  <si>
    <t>9 #3(5)</t>
  </si>
  <si>
    <t>มีกระบวนการหรือเครื่องมือจำลองสภาพแวดล้อมเสมือน (secure container/virtual environment) เพื่อวิเคราะห์พฤติกรรมการโจมตีจากข้อมูล และไฟล์แนบในอีเมลของผู้ใช้งาน</t>
  </si>
  <si>
    <t xml:space="preserve">1. สอบทาน "กระบวนการหรือเครื่องมือจำลองสภาพแวดล้อมเสมือน (secure container/virtual environment)" เพื่อวิเคราะห์พฤติกรรมการโจมตีจากข้อมูล และไฟล์แนบในอีเมลของผู้ใช้งาน เช่น การใช้งานเครื่องมือประเภท sandbox และระบบ advanced threat protection (ATP) เป็นต้น </t>
  </si>
  <si>
    <t xml:space="preserve">ส่วนที่ 10  การบริหารจัดการโครงการด้าน IT (IT project management) การจัดหา พัฒนา และบำรุงรักษาระบบ IT (system acquisition, development and maintenance) </t>
  </si>
  <si>
    <t>การบริหารจัดการโครงการด้าน IT (IT project management)</t>
  </si>
  <si>
    <t>D2.10 #1</t>
  </si>
  <si>
    <t>10.1 #1(1)</t>
  </si>
  <si>
    <t xml:space="preserve">มีการกำหนดโครงสร้างการควบคุมและกำกับดูแลโครงการ (project governance) ที่ชัดเจน เพื่อให้มีการควบคุมดูแลโครงการให้สำเร็จเป็นไปตามแผนงานที่กำหนด โดยพิจารณาการจัดให้มีผู้รับผิดชอบในบทบาทหน้าที่ตามความจำเป็นและความเหมาะสม เช่น
    (1) คณะกรรมการกำกับดูแลโครงการ (project steering committee) มีบทบาทหน้าที่และความรับผิดชอบในการกำกับดูแลและติดตามความคืบหน้าของโครงการ รวมทั้งให้คำแนะนำ และพิจารณาตัดสินใจการดำเนินงานในโครงการที่สำคัญ เพื่อให้โครงการสามารถดำเนินการได้ตามแผนที่กำหนดไว้  โดยควรประกอบด้วยผู้บริหารจากหน่วยงานที่เกี่ยวข้อง และเจ้าของโครงการหรือผู้สนับสนุนโครงการ (project owner/project sponsor)  
    (2) หน่วยงานหรือทีมงานดูแลภาพรวมโครงการ (project management officer) มีบทบาทหน้าที่และความรับผิดชอบในการกำหนดรูปแบบ กระบวนการ และเครื่องมือที่เป็นมาตรฐานในการบริหารจัดการและติดตามความคืบหน้าของโครงการ รวมทั้งรายงานภาพรวมโครงการสำคัญของผู้ประกอบธุรกิจ ให้กับคณะกรรมการของผู้ประกอบธุรกิจ และผู้บริหารระดับสูงที่เกี่ยวข้องได้รับทราบ เพื่อให้โครงการบรรลุตามเป้าหมายที่กำหนดไว้
    (3) ผู้จัดการโครงการ (project manager) มีบทบาทหน้าที่และความรับผิดชอบในการบริหารจัดการโครงการให้เป็นไปตามระเบียบขั้นตอนการบริหารจัดการโครงการ เพื่อให้โครงการสามารถส่งมอบได้อย่างถูกต้องครบถ้วนและสำเร็จตามแผนงานที่กำหนด  </t>
  </si>
  <si>
    <t xml:space="preserve">1. สัมภาษณ์ ผู้บริหารด้าน IT  เกี่ยวกับกรอบการบริหารจัดการโครงการ (project management framework) เมื่อมีแผนการจัดหา พัฒนา และบำรุงรักษาระบบ IT  
2. สอบทาน  "กระบวนการหรือขั้นตอนในการบริหารจัดการโครงการ (project management framework)" เพื่อให้มั่นใจว่ามีการจัดทำกรอบการบริหารจัดการโครงการ และมีรายละเอียดครอบคลุมโครงสร้างการควบคุมและกำกับดูแลโครงการ (project governance) ที่กำหนดบทบาทหน้าที่ตามความจำเป็นและความเหมาะสม รวมทั้งครอบคลุมการรักษาความมั่นคงปลอดภัยสารสนเทศ เช่น
    (1) คณะกรรมการกำกับดูแลโครงการ (project steering committee) 
    (2) หน่วยงานหรือทีมงานดูแลภาพรวมโครงการ (project management officer)
    (3) ผู้จัดการโครงการ (project manager) </t>
  </si>
  <si>
    <t>D2.10 #2</t>
  </si>
  <si>
    <t>10.1 #1(2)</t>
  </si>
  <si>
    <t>มีการกำหนดแนวทางการบริหารจัดการโครงการตั้งแต่เริ่มต้นโครงการจนกระทั่งส่งมอบงาน โดยมีรายละเอียดขั้นต่ำ ดังนี้
    (1) ระเบียบขั้นตอนการบริหารจัดการโครงการ (project management procedure) ครอบคลุมตั้งแต่ก่อนเริ่มโครงการ การดำเนินการและควบคุมโครงการ การปิดโครงการ และการสอบทานโครงการ
    (2) ปัจจัยและเกณฑ์ในการประเมินหรือจัดระดับความสำคัญของโครงการที่ชัดเจน รวมถึงขอบเขตอำนาจหน้าที่ในการอนุมัติและกำกับดูแลโครงการตามระดับความสำคัญของโครงการ
    (3) เอกสารหรือสิ่งส่งมอบในแต่ละขั้นตอนอย่างชัดเจน เช่น แผนการดำเนินโครงการ รายงานความคืบหน้า รายงานการปิดโครงการ เป็นต้น</t>
  </si>
  <si>
    <t>1. สอบทาน  "กระบวนการหรือแนวทางการบริหารจัดการโครงการ" เพื่อให้มั่นใจว่ามีการจัดทำแนวทางการบริหารจัดการโครงการอย่างเป็นลายลักษณ์อักษร มีการคำนึงถึงการรักษาความมั่นคงปลอดภัยสารสนเทศ และมีรายละเอียดครอบคลุม ดังนี้
    (1) ระเบียบขั้นตอนการบริหารจัดการโครงการ (project management procedure) ครอบคลุมตั้งแต่ก่อนเริ่มโครงการ การดำเนินการและควบคุมโครงการ การปิดโครงการ และการสอบทานโครงการ
    (2) ปัจจัยและเกณฑ์ในการประเมินหรือจัดระดับความสำคัญของโครงการที่ชัดเจน รวมถึงขอบเขตอำนาจหน้าที่ในการอนุมัติและกำกับดูแลโครงการตามระดับความสำคัญของโครงการ
    (3) เอกสารหรือสิ่งส่งมอบในแต่ละขั้นตอนอย่างชัดเจน เช่น แผนการดำเนินโครงการ รายงานความคืบหน้า รายงานการปิดโครงการ เป็นต้น</t>
  </si>
  <si>
    <t>D2.10 #3</t>
  </si>
  <si>
    <t>10.1 #2</t>
  </si>
  <si>
    <t>มีการกำหนดขั้นตอน หรือ กระบวนการเริ่มโครงการ โดยครอบคลุมเรื่อง ดังนี้
    (1) ประเมินความจำเป็นและประโยชน์ที่คาดว่าจะได้รับ รวมถึงความเสี่ยงและผลกระทบที่อาจเกิดขึ้นต่อระบบและหน่วยงานที่เกี่ยวข้องกับโครงการ 
    (2) จัดทำแผนการดำเนินโครงการที่มีรายละเอียดครบถ้วนเพียงพอต่อการบริหารจัดการโครงการ
    (3) การนำเสนอแผนการดำเนินโครงการ เพื่อขออนุมัติโครงการต่อคณะกรรมการของผู้ประกอบธุรกิจ คณะกรรมการที่ได้รับมอบหมาย หรือผู้บริหารระดับสูง ตามขอบเขตในการอนุมัติที่กำหนดไว้</t>
  </si>
  <si>
    <t>1. สอบทาน "ขั้นตอนการบริหารจัดการโครงการ (project management procedure)" เพื่อให้มั่นใจว่ามีการกำหนดขั้นตอน หรือ กระบวนการ เริ่มโครงการ ครอบคลุมเนื้อหาขั้นต่ำดังนี้
    (1) ประเมินความจำเป็นและประโยชน์ที่คาดว่าจะได้รับ ประเมินความเสี่ยงและผลกระทบที่อาจเกิดขึ้นต่อฝ่ายงานอื่นและระบบที่เกี่ยวข้องอย่างเป็นลายลักษณ์อักษร รวมทั้งการเลือกใช้ IT ที่เหมาะสม ทั้งนี้ โครงการต้องมีเป้าหมายที่ชัดเจน (project objective) สอดคล้องกับกลยุทธ์ขององค์กรและคำนึงถึงการรักษาความมั่นคงปลอดภัย
    (2) จัดทำแผนการดำเนินโครงการ (project plan) ที่มีรายละเอียดครบถ้วนเพียงพอต่อการบริหารจัดการโครงการอย่างน้อยครอบคลุม
        (ก)  เป้าหมายโครงการ
        (ข)  ทรัพยากรที่ใช้
        (ค)  บทบาทหน้าที่ ความรับผิดชอบของทีมงานในการดำเนินโครงการ
        (ง)  ขอบเขตและระยะเวลาของการดำเนินโครงการในแต่ละขั้นตอน
        (จ)  ผลงานที่จะส่งมอบในแต่ละขั้นตอน
        (ฉ)  ข้อกำหนดเงื่อนไขที่เกี่ยวข้องกับโครงการ เช่น ข้อกำหนดของผู้ว่าจ้าง ภาระผูกพัน ข้อจำกัด เป็นต้น
    (3) มีการนำเสนอแผนการดำเนินโครงการ  (project plan) เพื่อขออนุมัติโครงการต่อคณะกรรมการของผู้ประกอบธุรกิจ คณะกรรมการที่ได้รับมอบหมาย หรือผู้บริหารระดับสูง ตามขอบเขตในการอนุมัติที่กำหนดไว้
2. สอบทาน "เอกสารรายงานเริ่มโครงการ" เพื่อให้มั่นใจได้ว่ามีการบันทึกเหตุการณ์ที่สำคัญเป็นไปตามข้อกำหนดในการบริหารจัดการโครงการด้าน IT (IT project management) อย่างเหมาะสม</t>
  </si>
  <si>
    <t>D2.10 #4</t>
  </si>
  <si>
    <t>10.1 #3</t>
  </si>
  <si>
    <t>มีการกำหนดขั้นตอน หรือ กระบวนการดำเนินงานและควบคุมโครงการ โดยครอบคลุมเรื่อง ดังนี้
    (1) ติดตามและประเมินการดำเนินโครงการอย่างต่อเนื่องและครอบคลุมขอบเขต ระยะเวลา และทรัพยากรที่วางแผนไว้ 
    (2) ในกรณีที่มีการเปลี่ยนแปลงขอบเขต ระยะเวลาและหรือทรัพยากร หรือยกเลิกโครงการ ควรมีการนำเสนอเพื่อขออนุมัติการเปลี่ยนแปลงหรือยกเลิกโครงการ
    (3) รายงานความคืบหน้า ปัญหา อุปสรรคและข้อจำกัดในการดำเนินโครงการ ต่อคณะกรรมการกำกับดูแลโครงการหรือผู้บริหารระดับสูงที่ได้รับมอบหมายอย่างสม่ำเสมอ โดยโครงการที่ส่งผลกระทบต่อธุรกิจของผู้ประกอบธุรกิจอย่างมีนัยสำคัญ ควรได้รับการนำเสนอแก่คณะกรรมการของผู้ประกอบธุรกิจ หรือคณะกรรมการที่ได้รับมอบหมายจากคณะกรรมการของผู้ประกอบธุรกิจด้วย</t>
  </si>
  <si>
    <t>1. สอบทาน "ขั้นตอนการบริหารจัดการโครงการ (project management procedure)" เพื่อให้มั่นใจว่ามีการกำหนดขั้นตอน หรือ กระบวนการดำเนินงานและควบคุมโครงการ ครอบคลุมเรื่องดังนี้
    (1) ประเมินและติดตามการดำเนินโครงการอย่างต่อเนื่องและครอบคลุมขอบเขต ระยะเวลา และทรัพยากรที่วางแผน
    (2) ในกรณีที่มีการเปลี่ยนแปลงขอบเขต ระยะเวลาและหรือทรัพยากร หรือยกเลิกโครงการ ควรมีการนำเสนอเพื่อขออนุมัติการเปลี่ยนแปลงหรือยกเลิกโครงการ
    (3) รายงานความคืบหน้า ปัญหา อุปสรรคและข้อจำกัดในการดำเนินโครงการ ต่อคณะกรรมการกำกับดูแลโครงการหรือผู้บริหารที่ได้รับมอบหมายอย่างสม่ำเสมอ
    (4) โครงการที่ส่งผลกระทบต่อธุรกิจของผู้ประกอบธุรกิจอย่างมีนัยสำคัญ ควรได้รับการนำเสนอแก่คณะกรรมการของผู้ประกอบธุรกิจด้วย
2. สอบทาน "เอกสารรายงานการประเมินและติดตามการดำเนินโครงการ" เพื่อให้มั่นใจว่า มีการระบุ ขอบเขต ระยะเวลา และ ทรัพยากรที่วางแผนอย่างเหมาะสม
3. สอบทาน "เอกสารอนุมัติการเปลี่ยนแปลงหรือยกเลิกโครงการ" เพื่อให้มั่นใจว่ามีการนำเสนอ และ อนุมัติการเปลี่ยนแปลงหรือยกเลิกโครงการจากผู้มีอำนาจอย่างเหมาะสม
4. สอบทาน "เอกสารรายงานความคืบหน้าในการดำเนินโครงการ" เพื่อให้มั่นใจว่ามีการรายงาน ความคืบหน้า ปัญหา อุปสรรคและข้อจำกัดที่พบเจอในการดำเนินโครงการ ต่อคณะกรรมการการกำกับดูแลโครงการหรือผู้บริหารที่ได้รับมอบหมายอย่างสม่ำเสมอ
5. สอบทาน "เอกสารรายงานความคืบหน้าในการดำเนินโครงการที่มีนัยสำคัญ" เพื่อให้มั่นใจว่ามีการนำเสนอข้อมูลต่อคณะกรรมการของผู้ประกอบธุรกิจ หรือคณะกรรมการที่ได้รับมอบหมายจากคณะกรรมการของผู้ประกอบธุรกิจ อย่างเหมาะสม
(M4) 6. สอบทาน "กระบวนการหรือเอกสารการติดตามหรือสอบทานการบริหารโครงการต่างๆ ที่มีนัยสำคัญ" เพื่อให้มั่นใจว่าทุกโครงการมีการดำเนินการตามขั้นตอน และ กระบวนการดำเนินโครงการเป็นไปตามข้อกำหนดในการบริหารจัดการโครงการด้าน IT (IT project management) อย่างเหมาะสม
(M4) 7. สอบทาน "ผลการสอบทานการบริหารโครงการที่มีนัยสำคัญ" โดยมีการติดตามผลในการดำเนินการแก้ไขหรือปรับปรุงหากมีโครงการที่ไม่ได้เป็นไปตามขั้นตอนการบริหารจัดการโครงการ (project management procedure) อย่างเหมาะสม
(M5) 8. สังเกตการณ์การติดตามผลการปรับปรุงจากการสอบทาน "กระบวนการหรือเอกสารการติดตามหรือสอบทานการบริหารโครงการต่างๆ ที่มีนัยสำคัญ" หรือแก้ไขจากหน่วยงานที่เกี่ยวข้อง รวมทั้งการใช้เครื่องมืออัตโนมัติ (automated tools) ในกระบวนการดำเนินงานและควบคุมโครงการ</t>
  </si>
  <si>
    <t>ไม่จัดให้มีกรอบกำหนดกรอบการบริหารจัดการโครงการในส่วนของการดำเนินโครงการ</t>
  </si>
  <si>
    <t>มีการกำหนดกรอบการบริหารจัดการโครงการในส่วนของการดำเนินโครงการแต่เนื้อหาไม่ครบถ้วนตามข้อกำหนด</t>
  </si>
  <si>
    <t>มีการกำหนดกรอบการบริหารจัดการโครงการในส่วนของการดำเนินโครงการและเนื้อหาครบถ้วนตามข้อกำหนด</t>
  </si>
  <si>
    <t>มีการจัดทำตาม Maturity Level 3 และกำหนดให้มีการติดตามหรือสุ่มสอบทานโครงการที่มีนัยสำคัญที่เกิดขึ้นในระหว่างปีเพื่อให้มั่นใจว่ากระบวนการดำเนินโครงการเป็นไปตามข้อกำหนดในการบริหารจัดการโครงการด้าน IT อย่างเหมาะสม</t>
  </si>
  <si>
    <t>มีการจัดทำตาม Maturity Level 4 และ ในกรณีที่พบข้อควรปรับปรุงจากการสอบทาน มีการติดตามผลการปรับปรุงหรือแก้ไขจากหน่วยงานที่เกี่ยวข้อง รวมทั้งมีการใช้เครื่องมืออัตโนมัติ (automated tools) ในการบริหารจัดการโครงการในเรื่องของการดำเนินโครงการ</t>
  </si>
  <si>
    <t>D2.10 #5</t>
  </si>
  <si>
    <t>10.1 #4</t>
  </si>
  <si>
    <t xml:space="preserve">มีการกำหนดขั้นตอน หรือ กระบวนการปิดโครงการ โดยครอบคลุมเรื่อง ดังนี้
    (1) การสรุปประโยชน์ที่ได้รับจากโครงการ
    (2) การรวบรวมปัญหา อุปสรรคจากการบริหารจัดการโครงการ เพื่อนำมาเป็นสิ่งที่ได้เรียนรู้ (lesson learned) ใช้สำหรับวิเคราะห์ ปรับปรุง และพัฒนากระบวนการหรือเครื่องมือในการบริหารจัดการโครงการต่อไปให้มีประสิทธิภาพมากขึ้น </t>
  </si>
  <si>
    <t>1. สอบทาน  "ขั้นตอนการบริหารจัดการโครงการ (project management procedure)" เพื่อให้มั่นใจว่ามีการกำหนดขั้นตอน หรือ กระบวนการ การปิดโครงการ ครอบคลุมเรื่องดังนี้
    (1)  สรุปประโยชน์ที่ได้รับจากโครงการเปรียบเทียบกับเป้าหมายที่กำหนด
    (2)  รวบรวมปัญหา อุปสรรคจากการบริหารจัดการโครงการ เพื่อนำมาเป็นสิ่งที่ได้เรียนรู้ (lesson learned) ใช้สำหรับวิเคราะห์ ปรับปรุง และพัฒนากระบวนการหรือเครื่องมือในการบริหารจัดการโครงการต่อไปให้มีประสิทธิภาพมากขึ้น 
2. สอบทาน "เอกสารรายงานปิดโครงการ" เพื่อให้มั่นใจได้ว่ามีการบันทึกเหตุการณ์ที่สำคัญเป็นไปตามข้อกำหนดในการบริหารจัดการโครงการด้าน IT (IT project management) อย่างเหมาะสม
(M4) 3. สอบทาน "กระบวนการหรือเอกสารการติดตามหรือสอบทานการบริหารโครงการต่าง ๆ ที่มีนัยสำคัญ" เพื่อให้มั่นใจว่าทุกโครงการมีมีการดำเนินการตามขั้นตอน และ กระบวนการปิดโครงการเป็นไปตามข้อกำหนดในการบริหารจัดการโครงการด้าน IT (IT project management) อย่างเหมาะสม
(M4) 4. สอบทาน "ผลการสอบทานการบริหารโครงการที่มีนัยสำคัญ" โดยมีการติดตามผลในการดำเนินการแก้ไขหรือปรับปรุงหากมีโครงการที่ไม่ได้เป็นไปตามขั้นตอนการบริหารจัดการโครงการ (project management procedure) อย่างเหมาะสม
(M5) 5. สังเกตการณ์การติดตามผลการปรับปรุงจากการสอบทาน "กระบวนการหรือเอกสารการติดตามหรือสอบทานการบริหารโครงการต่างๆ ที่มีนัยสำคัญ" หรือแก้ไขจากหน่วยงานที่เกี่ยวข้อง รวมทั้งการใช้เครื่องมืออัตโนมัติ (automated tools) ในกระบวนการการปิดโครงการ</t>
  </si>
  <si>
    <t>ไม่จัดให้มีกรอบการบริหารจัดการโครงการในส่วนของการปิดโครงการ</t>
  </si>
  <si>
    <t>มีการกำหนดกรอบการบริหารจัดการโครงการในส่วนของการปิดโครงการแต่เนื้อหาไม่ครบถ้วนตามข้อกำหนด</t>
  </si>
  <si>
    <t>มีการกำหนดกรอบการบริหารจัดการโครงการในส่วนของการปิดโครงการและเนื้อหาครบถ้วนตามข้อกำหนด</t>
  </si>
  <si>
    <t>มีการจัดทำตาม Maturity Level 3 และกำหนดให้ติดตามหรือสุ่มสอบทานโครงการที่มีนัยสำคัญที่เกิดขึ้นในระหว่างปีเพื่อให้มั่นใจว่ากระบวนการปิดโครงการเป็นไปตามข้อกำหนดในการบริหารจัดการโครงการด้าน IT อย่างเหมาะสม</t>
  </si>
  <si>
    <t>มีการจัดทำตาม Maturity Level 4 และ ในกรณีที่พบข้อควรปรับปรุงจากการสอบทาน บริษัทมีการติดตามผลการปรับปรุงหรือแก้ไขจากหน่วยงานที่เกี่ยวข้อง รวมทั้งมีการใช้เครื่องมืออัตโนมัติ (automated tools) ในการบริหารจัดการโครงการในเรื่องของการปิดโครงการ</t>
  </si>
  <si>
    <t>D2.10 #6</t>
  </si>
  <si>
    <t>10.1 #5</t>
  </si>
  <si>
    <t>มีการสอบทานโครงการที่มีนัยสำคัญ โดยโครงการจะต้องมีความสอดคล้องกับเป้าหมายของโครงการ นโยบาย มาตรฐาน ระเบียบและวิธีปฏิบัติของผู้ประกอบธุรกิจ รวมทั้งกฎหมายและหลักเกณฑ์ที่เกี่ยวข้อง</t>
  </si>
  <si>
    <t>1. สอบทาน "เอกสารการสอบทานโครงการที่มีนัยสำคัญ" เพื่อให้มั่นใจว่า โครงการมีความสอดคล้องกับเป้าหมายของโครงการ นโยบาย มาตรฐาน ระเบียบและวิธีปฏิบัติของผู้ประกอบธุรกิจ รวมทั้งกฎหมายและหลักเกณฑ์ที่เกี่ยวข้อง รวมทั้งมีการพิจารณารายละเอียดอื่น ๆ ที่เกี่ยวข้อง เช่น วิธีการสอบทาน และ เวลาในการสอบทาน เป็นต้น</t>
  </si>
  <si>
    <t>D2.10 #7</t>
  </si>
  <si>
    <t>10.1 #6</t>
  </si>
  <si>
    <t xml:space="preserve">ผู้สอบทานโครงการที่มีนัยสำคัญ ควรมีความเป็นอิสระจากผู้ดำเนินโครงการ เช่น หน่วยงาน project quality assurance เป็นต้น </t>
  </si>
  <si>
    <t>1. สอบทาน "เอกสารการสอบทานโครงการที่มีนัยสำคัญ" เพื่อให้มั่นใจว่าผู้สอบทานโครงการที่มีนัยสำคัญมีความเป็นอิสระจากผู้ดำเนินโครงการ เช่น หน่วยงาน project quality assurance เป็นต้น</t>
  </si>
  <si>
    <t>การจัดหาระบบ IT (system acquisition)</t>
  </si>
  <si>
    <t>D2.10 #8</t>
  </si>
  <si>
    <t>มีการกำหนดหลักเกณฑ์ในการคัดเลือกระบบ IT และผู้ให้บริการ ที่สามารถตอบสนองความต้องการทางธุรกิจ และความต้องการด้าน IT security โดยคำนึงถึงความยืดหยุ่นในการเปลี่ยนแปลงผู้ให้บริการ การเปลี่ยนแปลงเทคโนโลยี รวมถึงการเปลี่ยนแปลงต่าง ๆ ที่เกี่ยวข้องกับการดำเนินธุรกิจอย่างมีนัยสำคัญ</t>
  </si>
  <si>
    <t>1. สัมภาษณ์ ผู้บริหารด้าน IT เกี่ยวกับเกณฑ์ในการคัดเลือกระบบ IT และผู้ให้บริการ เมื่อมีการจัดหาระบบ IT
2. สอบทาน "เอกสารข้อกำหนด หรือ เกณฑ์การคัดเลือกระบบ IT และ ผู้ให้บริการ" เพื่อให้มั่นใจว่าระบบที่จัดหาสามารถตอบสนองความต้องการทางธุรกิจและความต้องการด้าน IT security โดยคำนึงถึงเรื่อง ดังนี้
    (1) รายละเอียดทั่วไป เช่น  เทคโนโลยีที่ใช้ หมายเลขอ้างอิงของซอฟต์แวร์ (software license) ฟังก์ชันการทำงานของระบบ เป็นต้น
    (2) ความมั่นคงปลอดภัยของระบบ
    (3) ความน่าเชื่อถือของระบบ IT และผู้ให้บริการ เช่น ฐานะการเงิน ชื่อเสียง และความสามารถด้านเทคนิค เป็นต้น
    (4) การได้รับการรับรองตามมาตรฐานสากลหรือมาตรฐานด้าน IT ที่เกี่ยวข้องที่ได้รับการยอมรับโดยทั่วไป (certificate)
    (5) การสนับสนุนและการบำรุงรักษาระบบ
    (6) การทดสอบการทำงานขั้นต้น (proof of concept) ในกรณีที่เป็นระบบ IT ที่มีนัยสำคัญ
    (7) มาตรการรองรับหรือการบริหารความเสี่ยง ในกรณีที่ผู้พัฒนาระบบหรือผู้ให้บริการซอฟต์แวร์ไม่ปฏิบัติตามข้อตกลง ในการบำรุงรักษาระบบหรือให้การสนับสนุนการดำเนินงานตามที่ตกลงไว้ เช่น จัดให้มีข้อตกลงการรับฝากชุดคำสั่งคอมพิวเตอร์ต้นฉบับ (source code escrow agreement) เพื่อให้มั่นใจได้ว่าผู้ประกอบธุรกิจจะมีสิทธิในการเข้าถึง source code ของระบบหรือซอฟต์แวร์ดังกล่าว เป็นต้น  และคำนึงถึงความยืดหยุ่นในการเปลี่ยนแปลงผู้ให้บริการ การเปลี่ยนแปลงเทคโนโลยี รวมถึงการเปลี่ยนแปลงต่าง ๆ ที่เกี่ยวข้องกับการดำเนินธุรกิจอย่างมีนัยสำคัญ
3. สอบทาน "รายงาน หรือ เอกสารที่เกี่ยวข้องกับการคัดเลือกระบบ IT และ ผู้ให้บริการ" เพื่อให้มั่นใจได้ว่ามีการคัดเลือกระบบ IT และ ผู้ให้บริการเป็นไปตามเกณฑ์ที่กำหนด โดยครอบคลุมหัวข้อขั้นต่ำที่ควรคำนึง  อย่างเหมาะสม รวมทั้งมีหลักฐานการอนุมัติจากผู้ที่เกี่ยวข้องอย่างชัดเจน</t>
  </si>
  <si>
    <t>การพัฒนาระบบ IT (system development)</t>
  </si>
  <si>
    <t>D2.10 #9</t>
  </si>
  <si>
    <t>10.3(1)</t>
  </si>
  <si>
    <t>10.3(1) #1</t>
  </si>
  <si>
    <t>มีการกำหนดให้หน่วยงานธุรกิจที่เกี่ยวข้องมีส่วนร่วมในการกำหนดรายละเอียดความต้องการของระบบ (requirement)</t>
  </si>
  <si>
    <t>1. สัมภาษณ์ ผู้บริหารด้าน IT หรือ System development เกี่ยวกับการให้หน่วยงานธุรกิจมีส่วนร่วมในการกำหนดรายละเอียดเป้าหมาย (objective) และความต้องการทางธุรกิจ (business requirement) ก่อนเริ่มออกแบบระบบ
2. สอบทาน "เอกสารการร้องขอการพัฒนาระบบ" หรือ "เอกสารเกี่ยวกับการออกแบบ และพัฒนาระบบ" เพื่อให้มั่นใจว่า หน่วยงานธุรกิจที่เกี่ยวข้องมีส่วนร่วมในการกำหนดรายละเอียดเป้าหมาย (objective) และความต้องการของระบบ (requirement)</t>
  </si>
  <si>
    <t>D2.10 #10</t>
  </si>
  <si>
    <t>10.3(1) #2</t>
  </si>
  <si>
    <t xml:space="preserve">มีการจัดทำเอกสารระบุรายละเอียดความต้องการของระบบ (functional requirement และ non-functional requirement) และคุณสมบัติทางเทคนิค (technical specification) ที่ครอบคลุมหัวข้อตามที่กำหนด ดังนี้
    (1) ความมั่นคงปลอดภัย (security) ตามนโยบายหรือมาตรฐานที่ผู้ประกอบธุรกิจกำหนด เช่น การควบคุมการเข้าถึง และการเข้ารหัสข้อมูล เป็นต้น
    (2) ความพร้อมใช้งาน (availability) เช่น การออกแบบให้มีระบบทดแทน high availability หรือ redundancy รวมถึงมีระบบสำรอง (DR strategy) เป็นต้น เพื่อให้ระบบสามารถให้บริการได้อย่างต่อเนื่อง และลดความเสี่ยงที่จุดใดจุดหนึ่งทำให้ระบบเกิดปัญหาหรือล้มเหลวทั้งหมด (single point of failure)
    (3) ขีดความสามารถที่รองรับ (capacity)
ทั้งนี้ เอกสารข้างต้นควรผ่านการสอบทานความถูกต้องครบถ้วนและได้รับอนุมัติจากผู้เกี่ยวข้องก่อนเริ่มพัฒนาระบบ </t>
  </si>
  <si>
    <t xml:space="preserve">1. สัมภาษณ์ ผู้บริหารด้าน IT หรือ System development เกี่ยวกับกระบวนการรระบุรายละเอียดความต้องการของระบบ (functional requirement และ non-functional requirement) และคุณสมบัติทางเทคนิค (technical specification)
2. สอบทาน "เอกสารระบุรายละเอียดความต้องการของระบบ (functional requirement และ non-functional requirement) และคุณสมบัติทางเทคนิค (technical specification)" เพื่อให้มั่นใจว่าครอบคลุมเรื่อง ดังนี้
    (1) ความมั่นคงปลอดภัย (security) ตามนโยบายหรือมาตรฐานที่ผู้ประกอบธุรกิจกำหนด เช่น การควบคุมการเข้าถึง และการเข้ารหัสข้อมูล เป็นต้น
    (2) ความพร้อมใช้งาน (availability) เช่น การออกแบบให้มีระบบทดแทน high availability หรือ redundancy รวมถึงมีระบบสำรอง (DR strategy) เป็นต้น เพื่อให้ระบบสามารถให้บริการได้อย่างต่อเนื่อง และลดความเสี่ยงที่จุดใดจุดหนึ่งทำให้ระบบเกิดปัญหาหรือล้มเหลวทั้งหมด (single point of failure)
    (3) ขีดความสามารถที่รองรับ (capacity)
3. สุ่มระบบที่พัฒนาใหม่ เพื่อสอบทาน "เอกสารระบุรายละเอียดความต้องการของระบบ (functional requirement และ non-functional requirement) และคุณสมบัติทางเทคนิค (technical specification)" เพื่อให้มั่นใจว่าผ่านการสอบทานความถูกต้องครบถ้วนและได้รับอนุมัติจากผู้เกี่ยวข้องก่อนเริ่มพัฒนาระบบ
</t>
  </si>
  <si>
    <t>D2.10 #11</t>
  </si>
  <si>
    <t>10.3(2)</t>
  </si>
  <si>
    <t>10.3(2) #1</t>
  </si>
  <si>
    <t>มีการแบ่งแยกบทบาทหน้าที่และความรับผิดชอบของผู้ที่เกี่ยวข้องในการพัฒนาระบบ (segregation of duty) เพื่อให้มีการสอบทานก่อนนำระบบขึ้นไปให้บริการจริง เช่น แยกผู้พัฒนาระบบ ออกจากผู้นำระบบขึ้นใช้งานจริง เป็นต้น</t>
  </si>
  <si>
    <t>1. สัมภาษณ์  ผู้บริหารด้าน IT หรือ System development เกี่ยวกับการแบ่งแยกหน้าที่และความรับผิดชอบของผู้ที่เกี่ยวข้องในการพัฒนาระบบ เพื่อป้องกันการเข้าถึงและการใช้งานที่ไม่ได้รับอนุญาต
2. สอบทาน "นโยบายการจัดหา พัฒนา และดูแลรักษาระบบสารสนเทศ" เพื่อให้มั่นใจว่ามีการกำหนดให้มีการแบ่งแยกหน้าที่และความรับผิดชอบของผู้ที่เกี่ยวข้องในการพัฒนาระบบ (segregation of duty) เพื่อให้มีการสอบทานก่อนนำระบบขึ้นไปให้บริการจริง เช่น แยกผู้พัฒนาระบบ ออกจากผู้นำระบบขึ้นใช้งานจริง เป็นต้น
3. สอบทาน "เอกสารการพัฒนาระบบ IT" เพื่อให้มั่นใจว่ามีการกำหนดแบ่งแยกหน้าที่และความรับผิดชอบของผู้ที่เกี่ยวข้องในการพัฒนาระบบที่เป็นอิสระต่อกัน
4. สอบทาน "บัญชีผู้ใช้งานที่ได้รับสิทธิเข้าถึง สภาพแวดล้อมของการพัฒนา (development environment) สภาพแวดล้อมของการทดสอบ (test environment) และสภาพแวดล้อมของการใช้งานจริง (production environment)" เพื่อให้มั่นใจว่ามีการจำกัดการเข้าถึงสภาพแวดล้อม ได้แก่
   (1) สภาพแวดล้อมของการพัฒนา (development environment) หรือ source code
   (2) สภาพแวดล้อมของการทดสอบ (test environment)
   (3) สภาพแวดล้อมของการใช้งานจริง (production environment)
โดยผู้ใช้งานที่มีความจำเป็นเท่านั้น โดยเฉพาะอย่างยิ่งนักพัฒนาระบบหรือผู้ที่สามารถแก้ไขเปลี่ยนแปลงโปรแกรม ไม่ควรเข้าถึงสภาพแวดล้อมของการใช้งานจริง (production environment) ได้</t>
  </si>
  <si>
    <t>D2.10 #12</t>
  </si>
  <si>
    <t>10.3(3)</t>
  </si>
  <si>
    <t>10.3(3) #1</t>
  </si>
  <si>
    <t xml:space="preserve">มีการแบ่งแยกสภาพแวดล้อมของระบบงานที่ใช้สำหรับการพัฒนา (development) และการทดสอบ (testing) ออกจากระบบงานที่ให้บริการจริง (production) เพื่อควบคุมการทดสอบและลดผลกระทบที่อาจเกิดขึ้นต่อระบบงานที่ให้บริการจริง  </t>
  </si>
  <si>
    <t>1. สัมภาษณ์  ผู้บริหารด้าน IT หรือ System development เกี่ยวกับการแบ่งแยกสภาพแวดล้อมสำหรับการพัฒนา (development) การทดสอบ (testing) และการใช้งานจริง (production) เพื่อควบคุมการทดสอบและลดผลกระทบที่อาจเกิดขึ้นต่อระบบงานที่ให้บริการจริง  
2. สอบทาน "ข้อกำหนด/ขั้นตอนปฏิบัติในการออกแบบ พัฒนา ทดสอบ และนำระบบ IT ขึ้นใช้งาน" เพื่อให้มั่นใจว่ามีการแบ่งแยกสภาพแวดล้อมของระบบงานที่ใช้สำหรับการพัฒนา (development) และการทดสอบ (testing) ออกจากระบบงานที่ให้บริการจริง (production)</t>
  </si>
  <si>
    <t>D2.10 #13</t>
  </si>
  <si>
    <t>10.3(3) #2</t>
  </si>
  <si>
    <t>มีการรักษาความมั่นคงปลอดภัยของเครื่องที่ไม่ได้อยู่บนระบบที่ให้บริการจริง (non-production) ให้เพียงพอกับระดับความเสี่ยงของการเข้าถึงโดยไม่ได้รับอนุญาต และการรั่วไหลของข้อมูลที่ใช้ทดสอบ</t>
  </si>
  <si>
    <t>1. สัมภาษณ์ ผู้บริหารด้าน IT หรือ System development เกี่ยวกับกระบวนการรักษาความปลอดภัยของเครื่องที่ไม่ได้อยู่บนระบบที่ให้บริการจริง (non-production)
2. สอบทาน "ข้อกำหนด/ขั้นตอนปฏิบัติในการออกแบบ พัฒนา ทดสอบ และนำระบบ IT ขึ้นใช้งาน" เพื่อให้มั่นใจว่ามีการกำหนดมาตรการการรักษาความปลอดภัยของเครื่องที่ไม่ได้อยู่บนระบบที่ให้บริการจริง (non-production) ให้เพียงพอกับระดับความเสี่ยงของการเข้าถึงโดยไม่ได้รับอนุญาต และการรั่วไหลของข้อมูลที่ใช้ทดสอบ
3. สอบทาน "การตั้งค่าการรักษาความปลอดภัย" ของเครื่องที่ไม่ได้อยู่บนระบบที่ให้บริการจริง (non-production) เพื่อให้มั่นใจว่า มีการรักษาความปลอดภัย เช่น การตั้งค่าความปลอดภัยมาตรฐาน (security hardening) หรือ การ masking data เป็นต้น โดยให้พิจารณาตามระดับความเสี่ยงของการเข้าถึงระบบและข้อมูลโดยไม่ได้รับอนุญาต รวมทั้งมีการคำนึงถึงนโยบาย ความต้องการทางธุรกิจขององค์กร และกฎหมายที่เกี่ยวข้อง</t>
  </si>
  <si>
    <t>D2.10 #14</t>
  </si>
  <si>
    <t>10.3(3) #3</t>
  </si>
  <si>
    <t>มีการควบคุมไม่ให้มีการติดตั้งเครื่องมือการพัฒนาระบบ (development tools) และเครื่องมือแปลโปรแกรม (compilers) ไว้บนระบบที่ให้บริการจริง เพื่อป้องกันความเสี่ยงที่อาจถูกปรับเปลี่ยนหรือติดตั้งโปรแกรมโดยไม่ได้รับอนุญาต</t>
  </si>
  <si>
    <t xml:space="preserve">1. สัมภาษณ์ ผู้บริหารด้าน IT หรือ System development เกี่ยวกับกระบวนการควบคุมไม่ให้มีการติดตั้งเครื่องมือการพัฒนาระบบ (development tools) และเครื่องมือแปลโปรแกรม (compilers) ไว้บนระบบที่ให้บริการจริง  เพื่อป้องกันความเสี่ยงที่อาจถูกปรับเปลี่ยน ติดตั้ง หรือการดำเนินการของโปรแกรมโดยไม่ได้รับอนุญาต
2. สอบทาน"ข้อกำหนด/ขั้นตอนปฏิบัติในการออกแบบ พัฒนา ทดสอบ และนำระบบ IT ขึ้นใช้งาน" เพื่อให้มั่นใจว่ามีการกำหนดให้มีกระบวนการควบคุมไม่ให้มีการติดตั้งเครื่องมือการพัฒนาระบบ (development tools) และเครื่องมือแปลโปรแกรม (compilers) ไว้บนระบบที่ให้บริการจริง
3. สอบทาน "ค่าการตั้งค่า (configuration)" หรือหลักฐานอื่น ๆ ที่เกี่ยวข้อง เพื่อให้มั่นใจว่ามีการควบคุมไม่ให้มีการติดตั้งเครื่องมือการพัฒนาระบบ (development tools) และเครื่องมือแปลโปรแกรม (compilers) ไว้บนระบบที่ให้บริการจริง </t>
  </si>
  <si>
    <t>D2.10 #15</t>
  </si>
  <si>
    <t>10.3(4)</t>
  </si>
  <si>
    <t>10.3(4) #1</t>
  </si>
  <si>
    <t>มีการกำหนดมาตรฐานและระเบียบวิธีปฏิบัติในการออกแบบและพัฒนาระบบอย่างปลอดภัย (secure coding) สอดคล้องกับมาตรฐานสากล รวมทั้งควบคุมให้ผู้พัฒนาระบบปฏิบัติตามมาตรฐานและระเบียบวิธีปฏิบัติดังกล่าว</t>
  </si>
  <si>
    <t>1. สัมภาษณ์ ผู้บริหารด้าน IT หรือ System development เกี่ยวกับมาตรฐานและระเบียบในการรออกแบบและพัฒนาระบบอย่างปลอดภัย (secure coding) สอดคล้องกับมาตรฐานสากล
2. สอบทาน "ข้อกำหนด/ขั้นตอนปฏิบัติในการออกแบบ พัฒนา ทดสอบ และนำระบบ IT ขึ้นใช้งาน" เพื่อให้มั่นใจว่ามีการกำหนดมาตรฐาน หรือ แนวทางในการเขียนโปรแกรมอย่างมั่นคงปลอดภัย (secure coding guidelines) เป็นลายลักษณ์อักษรและมีการนำมาปฏิบัติใช้อย่างเหมาะสม
3. สอบทานหลักฐาน "รายงานการปฏิบัติตามมาตรฐานและระเบียบวิธีปฏิบัติในการออกแบบและพัฒนาระบบอย่างปลอดภัย (secure coding)" เพื่อให้มั่นใจว่ามีการการปฏิบัติตามมาตรฐานและระเบียบวิธีปฏิบัติในการออกแบบและพัฒนาระบบอย่างปลอดภัย (secure coding) ตามข้อกำหนด ตลอดทั้งวงจรการพัฒนาระบบ
(M4) 4. สอบทานหลักฐาน "การสอบทานมาตรฐาน หรือ แนวทางในการเขียนโปรแกรมอย่างมั่นคงปลอดภัย (secure coding guidelines)" เพื่อให้มั่นใจว่ามาตรฐานหรือนโยบายดังกล่าว ได้รับการสอบทานจากผู้บริหารที่เกี่ยวข้องเป็นประจำ
(M5) 5. สอบทานหลักฐาน "การติดตามเชิงรุกต่อ ความเสี่ยงด้าน IT ใหม่ ๆ" เพื่อให้มั่นใจว่ามีการติดตามเชิงรุกต่อความเสี่ยงด้าน IT ใหม่ ๆ หรือความเสี่ยงของบริษัทที่อาจเกิดขึ้นในอนาคต เพื่อนำมาปรับปรุงมาตรฐาน หรือแนวทางในการเขียนโปรแกรมอย่างมั่นคงปลอดภัย (secure coding guidelines) ให้สอดคล้องกับมาตรฐานสากลและเหตุการณ์ในปัจจุบัน</t>
  </si>
  <si>
    <t>ผู้ประกอบธุรกิจไม่มีการกำหนดมาตรฐาน หรือ แนวทางในการเขียนโปรแกรมอย่างมั่นคงปลอดภัย (secure coding guidelines)</t>
  </si>
  <si>
    <t>ผู้ประกอบธุรกิจมีการกำหนดมาตรฐาน หรือ แนวทางในการเขียนโปรแกรมอย่างมั่นคงปลอดภัย (secure coding guidelines) เพียงบางส่วน หรืออย่างไม่เป็นทางการ</t>
  </si>
  <si>
    <t>ผู้ประกอบธุรกิจมีการกำหนดมาตรฐาน หรือ แนวทางในการเขียนโปรแกรมอย่างมั่นคงปลอดภัย (secure coding guidelines)</t>
  </si>
  <si>
    <t xml:space="preserve">มีการจัดทำตาม Maturity Level 3 รวมถึงมีการสอบทานมาตรฐาน หรือแนวทางในการเขียนโปรแกรมอย่างมั่นคงปลอดภัย (secure coding guidelines) เป็นประจำ
</t>
  </si>
  <si>
    <t>มีการจัดทำตาม Maturity Level 4 รวมถึงมีการติดตามเชิงรุกต่อ IT Risk ใหม่ ๆ หรือความเสี่ยงของบริษัทที่อาจเกิดขึ้นในอนาคต เพื่อนำมาปรับปรุงมาตรฐาน หรือแนวทางในการเขียนโปรแกรมอย่างมั่นคงปลอดภัย (secure coding guidelines)</t>
  </si>
  <si>
    <t>D2.10 #16</t>
  </si>
  <si>
    <t>10.3(4) #2</t>
  </si>
  <si>
    <t>มีกระบวนการหรือเครื่องมือควบคุมเวอร์ชันของชุดคำสั่งคอมพิวเตอร์ (source code version control)</t>
  </si>
  <si>
    <t>1. สัมภาษณ์ ผู้บริหารด้าน IT หรือ System development เกี่ยวกับกระบวนการการควบคุมเวอร์ชั่นของชุดคำสั่งคอมพิวเตอร์ (source code version control)
2. สอบทาน "ข้อกำหนด/ขั้นตอนปฏิบัติในการออกแบบ พัฒนา ทดสอบ และนำระบบ IT ขึ้นใช้งาน" เพื่อให้มั่นใจว่ามีการกำหนดให้มีการการควบคุมการเปลี่ยนแปลงเวอร์ชันของโปรแกรม (source code version control)
3. สอบทานหลักฐาน "การควบคุมการเปลี่ยนแปลงเวอร์ชันของโปรแกรม (source code version control)" เพื่อให้มั่นใจว่ามีการควบคุมการเปลี่ยนแปลงเวอร์ชันของโปรแกรม (source code version control) ตามที่นโยบายกำหนดไว้
(M4) 4. สอบทานหลักฐาน "การสอบทานผลการควบคุมการเปลี่ยนแปลงเวอร์ชันของโปรแกรม (source code version control)" เพื่อให้มั่นใจว่ามีการสอบทานการควบคุมการเปลี่ยนแปลงเวอร์ชันของโปรแกรม (source code version control) อย่างสม่ำเสมอ
(M5) 5. สอบทานหลักฐาน "การใช้เครื่องมืออัตโนมัตืในการควบคุมการเปลี่ยนแปลงเวอร์ชันของโปรแกรม (source code version control)" เพื่อให้มั่นใจว่ามีการใช้เครื่องมืออัตโนมัติ (automated tools) ในการควบคุมการเปลี่ยนแปลงเวอร์ชันของโปรแกรม (source code version control) อย่างเหมาะสม</t>
  </si>
  <si>
    <t>ผู้ประกอบธุรกิจไม่มีกระบวนการในการควบคุมการเปลี่ยนแปลงเวอร์ชันของโปรแกรม (source code version control)</t>
  </si>
  <si>
    <t>ผู้ประกอบธุรกิจมีกระบวนการในการควบคุมการเปลี่ยนแปลงเวอร์ชันของโปรแกรม (source code version control) เพียงบางส่วน</t>
  </si>
  <si>
    <t>ผู้ประกอบธุรกิจมีกระบวนการในการควบคุมการเปลี่ยนแปลงเวอร์ชันของโปรแกรม (source code version control) อย่างครบถ้วน</t>
  </si>
  <si>
    <t>มีการจัดทำตาม Maturity Level 3 รวมถึงมีการสอบทานผลการควบคุมเวอร์ชันของชุดคำสั่งคอมพิวเตอร์ (source code version control) เพื่อให้มั่นใจว่ามีการควบคุมเวอร์ชันฯอย่างเหมาะสม</t>
  </si>
  <si>
    <t>มีการจัดทำตาม Maturity Level 4  รวมถึงมีการใช้เครื่องมืออัตโนมัติ (automated tools) ในการควบคุมเวอร์ชันของชุดคำสั่งของคอมพิวเตอร์ (source code version control)</t>
  </si>
  <si>
    <t>D2.10 #17</t>
  </si>
  <si>
    <t>10.3(4) #3</t>
  </si>
  <si>
    <t xml:space="preserve">มีการสอบทานคำสั่งในการเขียนโปรแกรม (source code review) โดยใช้ 
   (1) ระบบอัตโนมัติ (automated review) หรือ
   (2) แบบ manual ซึ่งดำเนินการโดยบุคคลที่ไม่ใช่ผู้พัฒนาโปรแกรม
เมื่อมีการพัฒนาหรือแก้ไขเปลี่ยนแปลงระบบ IT ที่มีความสำคัญ ซึ่งมีความเสี่ยงด้านความมั่นคงปลอดภัย เพื่อให้สามารถระบุช่องโหว่ด้านความมั่นคงปลอดภัย และปิดช่องโหว่ที่พบก่อนนำระบบไปใช้งานจริง </t>
  </si>
  <si>
    <t>1. สัมภาษณ์ ผู้บริหารด้าน IT หรือ System development เกี่ยวกับกระบวนการการสอบทานคำสั่งในการเขียนโปรแกรม (source code review) เมื่อมีการพัฒนาหรือแก้ไขเปลี่ยนแปลงระบบ IT ที่มีความสำคัญ 
2. สอบทาน "ข้อกำหนด/ขั้นตอนปฏิบัติในการออกแบบ พัฒนา ทดสอบ และนำระบบ IT ขึ้นใช้งาน" เพื่อให้มั่นใจว่ามีการกำหนดให้มีการสอบทานการเขียนโปรแกรมว่าเป็นไปตามมาตรฐานและไม่มีช่องโหว่ทางด้านความมั่นคงปลอดภัย (secure code review)
3. สอบทานหลักฐาน "เอกสารผลการสอบทานคำสั่งในการเขียนโปรแกรม (source code review)" เพื่อให้มั่นใจว่ามีการสอบทานคำสั่งในการเขียนโปรแกรม (source code review)  เมื่อมีการพัฒนาหรือแก้ไขเปลี่ยนแปลงระบบ IT ที่มีความสำคัญ
4. สอบทานหลักฐาน "การติดตามและประเมินผลการแก้ไขช่องโหว่จากการสอบทานคำสั่งในการเขียนโปรแกรม (source code review)" เพื่อให้มั่นใจว่ามีการติดตามและประเมินผลการแก้ไขช่องโหว่จากการสอบทานคำสั่งในการเขียนโปรแกรม (source code review) ให้แน่ใจว่าชุดคำสั่งคอมพิวเตอร์มีความปลอดภัย ก่อนนำระบบไปใช้งานจริง
(M4) 5. สอบทานหลักฐาน "การกำกับดูแล ติดตามผลการสอบทานคำสั่งในการเขียนโปรแกรม (source code review)" โดยบุคคลหรือหน่วยงานที่มีความเป็นอิสระจากหน่วยงานที่ทำหน้าที่ปฏิบัติงาน เพื่อให้มั่นใจว่ามีการกำกับดูแลการพัฒนาระบบงาน IT ให้มีความปลอดภัย
(M5) 6. สอบทานหลักฐาน "การใช้เครื่องมืออัตโนมัติในการจัดจัดเก็บประวัติการแก้ไข การสอบทาน รวมถึงการตรวจจับการเปลี่ยนแปลงแก้ไข" เพื่อให้มั่นใจว่ามีการใช้เครื่องมืออัตโนมัติ (automated tools)  ในการจัดเก็บประวัติการแก้ไข การสอบทาน รวมถึงการตรวจจับการเปลี่ยนแปลงแก้ไข source code ตลอดจนการติดตามผลการสอบทานเพื่อให้มั่นใจว่าการพัฒนาชุดคำสั่งคอมพิวเตอร์ให้มีความปลอดภัยอย่างเหมาะสม</t>
  </si>
  <si>
    <t>ผู้ประกอบธุรกิจไม่มีการสอบทานคำสั่งในการเขียนโปรแกรม (source code review)</t>
  </si>
  <si>
    <t>ผู้ประกอบธุรกิจมีการสอบทานคำสั่งในการเขียนโปรแกรม (source code review) เป็นบางส่วน หรือ เป็นบางครั้ง</t>
  </si>
  <si>
    <t xml:space="preserve">ผู้ประกอบธุรกิจมีการสอบทานคำสั่งในการเขียนโปรแกรม (source code review) โดยบุคคลที่ไม่ใช่ผู้พัฒนาโปรแกรม เมื่อมีการพัฒนาหรือแก้ไขเปลี่ยนแปลงระบบ IT ที่มีความสำคัญ  เพื่อให้สามารถระบุช่องโหว่ด้านความมั่นคงปลอดภัย และปิดช่องโหว่ที่พบก่อนนำระบบไปใช้งานจริง </t>
  </si>
  <si>
    <t>มีการจัดทำตาม Maturity Level 3 รวมถึงมีการสอบทานคำสั่งในการเขียนโปรแกรม (source code review) โดยบุคคลหรือหน่วยงานที่มีความเป็นอิสระจากหน่วยงานที่ทำหน้าที่ปฏิบัติงาน เพื่อให้มั่นใจว่ามีการกำกับดูแลการพัฒนาระบบงาน IT ให้มีความปลอดภัย</t>
  </si>
  <si>
    <t>มีการจัดทำตาม Maturity Level 4 โดยการใช้เครื่องมืออัตโนมัติ (automated tools) ในการจัดเก็บประวัติการแก้ไข การสอบทาน รวมถึงการตรวจจับการเปลี่ยนแปลงแก้ไข source code ตลอดจนการติดตามผลการสอบทานเพื่อให้มั่นใจว่าการพัฒนาชุดคำสั่งคอมพิวเตอร์ให้มีความปลอดภัย</t>
  </si>
  <si>
    <t>D2.10 #18</t>
  </si>
  <si>
    <t>10.3(4) #4</t>
  </si>
  <si>
    <t>มีการสอบทานคำสั่งในการเขียนโปรแกรมแบบ manual (manual source code review) โดยผู้เชี่ยวชาญที่มีความเป็นอิสระจากผู้พัฒนาโปรแกรม เมื่อมีการพัฒนาระบบ IT ที่มีความสำคัญ หรือมีการเปลี่ยนแปลงที่มีความเสี่ยงด้านความมั่นคงปลอดภัยของระบบ IT ที่มีความสำคัญ</t>
  </si>
  <si>
    <t>1. สัมภาษณ์ ผู้บริหารด้าน IT หรือ System development เกี่ยวกับการสอบทานคำสั่งในการเขียนโปรแกรมแบบ manual (manual source code review) โดยผู้เชี่ยวชาญที่มีความเป็นอิสระจากผู้พัฒนาโปรแกรม
2. สอบทาน "ข้อกำหนด/ขั้นตอนปฏิบัติในการออกแบบ พัฒนา ทดสอบ และนำระบบ IT ขึ้นใช้งาน" เพื่อให้มั่นใจว่ามีการกำหนดให้มีการสอบทานคำสั่งในการเขียนโปรแกรมแบบ manual (manual source code review) โดยผู้เชี่ยวชาญที่มีความเป็นอิสระจากผู้พัฒนาโปรแกรม เมื่อมีการพัฒนาระบบ IT ที่มีความสำคัญ หรือมีการเปลี่ยนแปลงที่มีความเสี่ยงด้านความมั่นคงปลอดภัยของระบบ IT ที่มีความสำคัญ
3. สอบทาน "รายงานผลการสอบทานคำสั่งในการเขียนโปรแกรมแบบ manual (manual source code review)" เพื่อให้มั่นใจว่ามีการสอบทานคำสั่งในการเขียนโปรแกรมแบบ manual (manual source code review) อย่างครบถ้วน เหมาะสม ตามข้อกำหนด</t>
  </si>
  <si>
    <t>D2.10 #19</t>
  </si>
  <si>
    <t>10.3(5)</t>
  </si>
  <si>
    <t>10.3(5) #1</t>
  </si>
  <si>
    <t>มีการทดสอบระบบก่อนนำไปใช้งานหรือให้บริการจริง เพื่อให้มั่นใจได้ว่าระบบดังกล่าวสามารถทำงานได้อย่างถูกต้อง ปลอดภัย มีประสิทธิภาพ และเป็นไปตามความต้องการของผู้ใช้งาน โดยครอบคลุมอย่างน้อย ดังนี้
    (1) ทดสอบการทำงานของแต่ละหน่วย (unit test)
    (2) ทดสอบการทำงานของระบบและการเชื่อมต่อ (system and integration test)
    (3) ทดสอบความต้องการของผู้ใช้งาน (user acceptance test)
    (4) ทดสอบการรักษาความปลอดภัย (security test) ได้แก่ การประเมินช่องโหว่ (vulnerabilities assessment) และ
การทดสอบการเจาะระบบ (penetration test) ตามความจำเป็น สำหรับระบบใหม่ ที่มีการเชื่อมต่อกับระบบ IT ที่มีนัยสำคัญ เพื่อให้สามารถตรวจพบช่องโหว่และดำเนินการปรับปรุงแก้ไขอย่างเหมาะสมก่อนเริ่มให้บริการจริง</t>
  </si>
  <si>
    <t>1. สัมภาษณ์ ผู้บริหารด้าน IT หรือ System development เกี่ยวกับการทดสอบระบบ IT ก่อนนำไปใช้งานหรือให้บริการจริง
2. สอบทาน "ข้อกำหนด/ขั้นตอนปฏิบัติในการออกแบบ พัฒนา ทดสอบ และนำระบบ IT ขึ้นใช้งาน" เพื่อให้มั่นใจว่ามีการกำหนดให้มีการทดสอบระบบ IT ก่อนนำไปใช้งานหรือให้บริการจริง โดยครอบคลุมการทดสอบ ดังนี้
    (1) ทดสอบการทำงานของแต่ละหน่วย (unit test)
    (2) ทดสอบการทำงานของระบบและการเชื่อมต่อ (system and integration test)
    (3) ทดสอบความต้องการของผู้ใช้งาน (user acceptance test)
    (4) ทดสอบการรักษาความปลอดภัย (security test) 
3. สอบทาน "เอกสารการทดสอบระบบ IT" เพื่อให้มั่นใจว่ามีการทดสอบระบบ IT  ก่อนนำไปใช้งานหรือให้บริการจริง อย่างเหมาะสม ครอบคลุมตามข้อกำหนดการทดสอบระบบ IT ก่อนนำไปใช้งาน
4. สอบทานหลักฐาน "การติดตามผลการทดสอบระบบ IT" เพื่อให้มั่นใจว่ามีการติดตามผลการทดสอบระบบ IT เพื่อให้มั่นใจว่าการทดสอบดำเนินการแล้วเสร็จ ถูกต้องและครบถ้วนตามข้อกำหนด</t>
  </si>
  <si>
    <t>D2.10 #20</t>
  </si>
  <si>
    <t>10.3(5) #2</t>
  </si>
  <si>
    <t>มีการกำหนดสถานการณ์ที่ใช้ทดสอบ (test scenario) หรือกรณีที่ใช้ทดสอบ (test case) แบบ end-to-end และมีกระบวนการสอบทาน test scenario หรือ test case เพื่อให้มั่นใจว่ามีความครอบคลุมเพียงพอและตรงกับความต้องการของหน่วยงานธุรกิจ (business requirement)</t>
  </si>
  <si>
    <t>1. สัมภาษณ์ ผู้บริหารด้านการทดสอบระบบงาน เกี่ยวกับการกำหนดสถานการณ์ที่ใช้ทดสอบ (test scenario) หรือกรณีที่ใช้ทดสอบ (test case) แบบ end-to-end และกระบวนการสอบทาน test scenario หรือ test case 
2. สอบทาน "ข้อกำหนด/ขั้นตอนปฏิบัติในการออกแบบ พัฒนา ทดสอบ และนำระบบ IT ขึ้นใช้งาน" เพื่อให้มั่นใจว่ามีการกำหนดให้กำหนดสถานการณ์ที่ใช้ทดสอบ (test scenario) หรือกรณีที่ใช้ทดสอบ (test case) แบบ end-to-end และมีกระบวนการสอบทาน test scenario หรือ test case เพื่อให้มั่นใจว่ามีความครอบคลุมเพียงพอและตรงกับความต้องการของหน่วยงานธุรกิจ (business requirement)
3. สอบทาน “เอกสารการทดสอบระบบสารสนเทศ” เพื่อให้มั่นใจว่ามีการกำหนดสถานการณ์ที่ใช้ทดสอบ (test scenario) หรือกรณีที่ใช้ทดสอบ (test case) แบบ end-to-end อย่างครบถ้วนตามความต้องการของหน่วยงานธุรกิจ (business requirement)
4. สอบทาน "เอกสารการสอบทาน test scenario หรือ test case" เพื่อให้มั่นใจว่ามีความครอบคลุมเพียงพอและตรงกับความต้องการของหน่วยงานธุรกิจ (business requirement)</t>
  </si>
  <si>
    <t>D2.10 #21</t>
  </si>
  <si>
    <t>10.3(5) #3</t>
  </si>
  <si>
    <t>มีการทดสอบระบบบนสภาพแวดล้อม (test environment) ที่ใกล้เคียงระบบที่ให้บริการจริง เพื่อลดความเสี่ยงที่อาจเกิดขึ้นจากการเปลี่ยนแปลงบนระบบที่ให้บริการจริง</t>
  </si>
  <si>
    <t>1. สัมภาษณ์ ผู้บริหารด้าน IT หรือ System development เกี่ยวกับการจัดเตรียมสภาพแวดล้อมของการทดสอบ (test environment) ให้ใกล้เคียงระบบที่ให้บริการจริง
2. สอบทาน “ค่าการตั้งค่า (configuration)  ของเครื่องแม่ข่ายในสภาพแวดล้อมของระบบทดสอบ” เทียบกับ “ค่าการตั้งค่า (configuration) ของเครื่องแม่ข่ายในสภาพแวดล้อมของระบบที่ให้บริการจริง” เพื่อให้มั่นใจว่ามีการทดสอบระบบบนสภาพแวดล้อมที่ใกล้เคียงกับระบบที่ให้บริการจริง เช่น ใช้ระบบปฏิบัติ ระบบฐานข้อมูลที่ใกล้เคียงกัน เป็นต้น โดยมีการรักษาความมั่นคงปลอดภัยอย่างเหมาะสม</t>
  </si>
  <si>
    <t>D2.10 #22</t>
  </si>
  <si>
    <t>10.3(5) #4</t>
  </si>
  <si>
    <t>มีการจัดการข้อบกพร่อง (defect) ของระบบที่พบในการทดสอบ โดยพิจารณาแนวทางปรับปรุง หรือลดความเสี่ยงและผลกระทบของข้อบกพร่องดังกล่าว</t>
  </si>
  <si>
    <t>1. สัมภาษณ์ ผู้บริหารด้าน IT หรือ System development เกี่ยวกับการจัดการข้อบกพร่อง (defect) ของระบบที่พบในการทดสอบ
2. สอบทาน "เอกสารการทดสอบระบบ IT" เพื่อมั่นใจว่ามีการจัดการแก้ไขหรือลดความเสี่ยงจากข้อบกพร่อง(defect) ของระบบหลังจากที่มีการทดสอบแล้ว โดยพิจารณาแนวทางปรับปรุง หรือลดความเสี่ยงหรือผลกระทบของข้อบกพร่องดังกล่าว</t>
  </si>
  <si>
    <t>D2.10 #23</t>
  </si>
  <si>
    <t>10.3(5) #5</t>
  </si>
  <si>
    <t>มีการขออนุมัติผลการทดสอบจากฝ่ายงานที่เกี่ยวข้อง ก่อนนำระบบขึ้นใช้งานจริง</t>
  </si>
  <si>
    <t>1. สัมภาษณ์ ผู้บริหารด้าน IT หรือ System development เกี่ยวกับการอนุมัติผลการทดสอบจากฝ่ายงานที่เกี่ยวข้อง ก่อนนำระบบขึ้นใช้งานจริง
2. สอบทาน "ข้อกำหนด/ขั้นตอนปฏิบัติในการออกแบบ พัฒนา ทดสอบ และนำระบบ IT ขึ้นใช้งาน" เพื่อให้มั่นใจว่ามีการกำหนดให้มีการขออนุมัติผลการทดสอบจากฝ่ายงานที่เกี่ยวข้อง ก่อนนำระบบขึ้นใช้งานจริง
3. สุ่มสอบทาน “ระบบที่มีการนำขึ้นใช้งาน” เพื่อให้มั่นใจว่ามีหลักฐานการอนุมัติจากผู้บริหารที่เกี่ยวข้องก่อนการนำระบบขึ้นใช้งานจริง</t>
  </si>
  <si>
    <t>D2.10 #24</t>
  </si>
  <si>
    <t>10.3(6)</t>
  </si>
  <si>
    <t>10.3(6) #1</t>
  </si>
  <si>
    <t>มีมาตรการควบคุมความถูกต้องครบถ้วนของการแปลงข้อมูล (data conversion) ควรครอบคลุมกรณีที่มีการโอนย้ายข้อมูลจากระบบเดิมไปยังระบบใหม่ (data migration) เช่น การทำ storage migration, cloud migration หรือ application migration</t>
  </si>
  <si>
    <t>1. สัมภาษณ์ ผู้บริหารด้าน IT หรือ System development เกี่ยวกับการควบคุมความถูกต้องครบถ้วนของการแปลงข้อมูล (data conversion) ที่ครอบคลุมกรณีที่มีการโอนย้ายข้อมูลจากระบบเดิมไปยังระบบใหม่ (data migration)
2. สอบทาน  "ข้อกำหนด/ขั้นตอนปฏิบัติในการออกแบบ พัฒนา ทดสอบ และนำระบบ IT ขึ้นใช้งาน" เพื่อให้มั่นใจว่ามีการกำหนดและนำไปปฏิบัติใช้ซึ่งมาตรการควบคุมความถูกต้องครบถ้วนของการแปลงข้อมูล (data conversion) ที่ครอบคลุมกรณีที่มีการโอนย้ายข้อมูลจากระบบเดิมไปยังระบบใหม่ (data migration) เช่น การทำ storage migration cloud migration หรือ application migration เป็นต้น
3. สุ่มสอบทาน "ผลการโอนย้ายข้อมูลไปยังระบบใหม่" (ถ้ามี) เพื่อให้มั่นใจว่าข้อมูลที่ถูกโอนย้ายไปยังระบบใหม่มีความถูกต้องครบถ้วน ตามมาตรการควบคุมความถูกต้องครบถ้วนของการแปลงข้อมูล (data conversion)</t>
  </si>
  <si>
    <t>D2.10 #25</t>
  </si>
  <si>
    <t>10.3(7)</t>
  </si>
  <si>
    <t>10.3(7) #1</t>
  </si>
  <si>
    <t xml:space="preserve">มีมาตรการรักษาความปลอดภัยและความลับของข้อมูล ในกรณีที่มีการนำข้อมูลสำคัญจากระบบจริงมาใช้เพื่อทดสอบระบบ เช่น การทำ data masking เพื่อป้องกันความเสี่ยงในการรั่วไหลของข้อมูล </t>
  </si>
  <si>
    <t>1. สัมภาษณ์ ผู้บริหารด้าน IT หรือ System development เพื่อให้เข้าใจถึงกระบวนการควบคุมการรักษาความมั่นคงปลอดภัยและความลับของข้อมูลสำคัญที่นำไปใช้ในการทดสอบ
2. สอบทาน "ข้อกำหนด/ขั้นตอนปฏิบัติในการออกแบบ พัฒนา ทดสอบ และนำระบบ IT ขึ้นใช้งาน" เพื่อให้มั่นใจว่ามีการกำหนดมาตรการรักษาความมั่นคงปลอดภัย และความลับของข้อมูลสำคัญที่นำไปใช้ในการทดสอบ รวมทั้งต้องมีความสอดคล้องกับนโยบาย ความต้องการทางธุรกิจขององค์กร และกฎหมายที่เกี่ยวข้อง
3. ในกรณีที่มีการใช้ข้อมูลจริงในการทดสอบระบบ สอบทาน “เอกสารการทดสอบระบบสารสนเทศ หรือ เอกสารประกอบอื่น ๆ ที่เกี่ยวข้อง” เพื่อให้มั่นใจว่า มีการควบคุมการรั่วไหลของข้อมูลสำคัญ อันอาจประกอบด้วย
    (1) การพิจารณาอนุมัติการใช้งานข้อมูลจริงเพื่อการทดสอบโดยเจ้าของข้อมูล รวมทั้งการกำหนดวิธีการควบคุมที่เหมาะสมตามระดับชั้นความลับของข้อมูล
    (2) ข้อมูลความลับอาจมีการลบทิ้ง หรือ ปกปิด เพื่อไม่ให้ทราบ หรือ สืบหาข้อมูลจริงได้
    (3) ในกรณีที่ไม่สามารถลบทิ้ง หรือ ปกปิด ข้อมูลได้ ควรกำหนดให้มีการกำหนดสิทธิการเข้าถึงที่เหมาะสม รวมทั้ง ลบข้อมูลทิ้งทันทีหลังจากการทดสอบเสร็จสิ้น
    (4) ในกรณีที่การทดสอบดำเนินการโดยผู้ใช้งานจำนวนมาก หรือ เป็นระยะเวลานาน อาจพิจารณาจัดเก็บบันทึกเหตุการณ์ในการเข้าใช้งาน และ ทำสำเนาข้อมูลเพื่อตรวจสอบการใช้งานหรือทำสำเนาข้อมูลโดยไม่ได้รับอนุญาต
(M4) 4. สอบทานหลักฐาน "การเฝ้าสังเกต การใช้ข้อมูลสำคัญจากระบบเพื่อทดสอบ" เพื่อให้มั่นใจว่ามีการเฝ้าสังเกต (monitor) ในกรณีที่มีการนำข้อมูลสำคัญจากระบบจริงมาใช้เพื่อทดสอบระบบ
(M5) 5. สอบทานหลักฐาน "การใช้เครื่องมืออัตโนมัติในการควบคุมรักษาความมั่นคงปลอดภัยและความลับของข้อมูลสำคัญที่นำไปใช้ในการทดสอบ" เพื่อให้มั่นใจว่ามีการใช้เครื่องมืออัตโนมัติ (automated tools) ในการควบคุมรักษาความมั่นคงปลอดภัยและความลับของข้อมูลสำคัญที่นำไปใช้ในการทดสอบอย่างเหมาะสม</t>
  </si>
  <si>
    <t>ผู้ประกอบธุรกิจไม่มีมาตรการรักษาความมั่นคงปลอดภัย และความลับของข้อมูลสำคัญที่นำไปใช้ในการทดสอบ</t>
  </si>
  <si>
    <r>
      <t>ผู้ประกอบธุรกิจมีมาตรการรักษาความมั่นคงปลอดภัย และความลับของข้อมูลสำคัญที่นำไปใช้ในการทดสอบแต่ไม่ได้ระบุไว้เป็นลายลักษณ์อักษร</t>
    </r>
    <r>
      <rPr>
        <sz val="10"/>
        <color rgb="FFFF0000"/>
        <rFont val="Tahoma"/>
        <family val="2"/>
        <scheme val="major"/>
      </rPr>
      <t xml:space="preserve"> </t>
    </r>
  </si>
  <si>
    <t>ผู้ประกอบธุรกิจมีการกำหนดมาตรการรักษาความมั่นคงปลอดภัย และความลับของข้อมูลสำคัญที่นำไปใช้ในการทดสอบอย่างเป็นลายลักษณ์อักษร</t>
  </si>
  <si>
    <t>มีการจัดทำตาม Maturity Level 3 รวมถึงมีการเฝ้าสังเกตการณ์ (monitor) ในกรณีที่มีการนำข้อมูลสำคัญจากระบบจริงมาใช้เพื่อทดสอบระบบ</t>
  </si>
  <si>
    <t>มีการจัดทำตาม Maturity Level 4 รวมถึงมีการใช้เครื่องมืออัตโนมัติ (automated tools) ในการควบคุมรักษาความมั่นคงปลอดภัยและความลับของข้อมูลสำคัญที่นำไปใช้ในการทดสอบ</t>
  </si>
  <si>
    <t>D2.10 #26</t>
  </si>
  <si>
    <t>10.3(8)</t>
  </si>
  <si>
    <t>มีการทดสอบประสิทธิภาพ (performance test) ของระบบที่เกี่ยวข้องกับการให้บริการหรือการทำธุรกรรมทางอิเล็กทรอนิกส์ เมื่อมีการพัฒนาหรือเปลี่ยนแปลงระบบอย่างมีนัยสำคัญ เพื่อให้มั่นใจว่าระบบดังกล่าวสามารถรองรับปริมาณการใช้งานได้สอดคล้องกับความต้องการทางธุรกิจ</t>
  </si>
  <si>
    <t>1. สัมภาษณ์  ผู้บริหารด้าน IT หรือ System development  เกี่ยวกับการทดสอบประสิทธิภาพ (performance test) ของระบบที่เกี่ยวข้องกับการให้บริการหรือการทำธุรกรรมทางอิเล็กทรอนิกส์ เมื่อมีการพัฒนาหรือเปลี่ยนแปลงอย่างมีนัยสำคัญ
2. สอบทาน "ข้อกำหนด/ขั้นตอนปฏิบัติในการออกแบบ พัฒนา ทดสอบ และนำระบบ IT ขึ้นใช้งาน" เพื่อให้มั่นใจว่ามีการกำหนดให้มีการทดสอบประสิทธิภาพ (performance test) ของระบบที่เกี่ยวข้องกับการให้บริการหรือการทำธุรกรรมทางอิเล็กทรอนิกส์ เมื่อมีการพัฒนาหรือเปลี่ยนแปลงอย่างมีนัยสำคัญ
3. สอบทาน "เอกสารการทดสอบประสิทธิภาพ (performance test) ของระบบ"  เพื่อให้มั่นใจว่ามีการทดสอบประสิทธิภาพ (performance test) ของระบบที่เกี่ยวข้องกับการให้บริการหรือการทำธุรกรรมทางอิเล็กทรอนิกส์ เมื่อมีการพัฒนาหรือเปลี่ยนแปลงอย่างมีนัยสำคัญ และสามารถรองรับปริมาณการใช้งานได้สอดคล้องกับความต้องการทางธุรกิจ</t>
  </si>
  <si>
    <t>D2.10 #27</t>
  </si>
  <si>
    <t>10.3(9)</t>
  </si>
  <si>
    <t>มีการติดตาม และควบคุมการดำเนินการให้เป็นไปตามข้อตกลงในการมอบหมายงาน ในกรณีที่มอบหมายให้บุคคลภายนอกเป็นผู้พัฒนาหรือแก้ไขเปลี่ยนแปลงระบบ IT</t>
  </si>
  <si>
    <t>1. สัมภาษณ์ ผู้บริหารด้าน IT หรือ System development เกี่ยวกับกระบวนการติดตาม ควบคุม และทบทวนการดำเนินการของผู้ให้บริการภายนอกให้เป็นตามข้อตกลงในการมอบหมายงาน ในกรณีที่มีการมอบหมายให้ผู้ให้บริการภายนอกเป็นผู้พัฒนาหรือแก้ไขเปลี่ยนแปลงระบบ IT
2. สุ่มสอบทาน "เอกสารคำร้อง และ เอกสารประกอบการพัฒนา หรือ แก้ไขเปลี่ยนแปลงระบบ IT" เพื่อให้มั่นใจว่าในกรณีที่เป็นการพัฒนาโดยผู้ให้บริการภายนอก มีการติดตามและควบคุมการดำเนินการตามข้อตกลงในการมอบหมายงาน</t>
  </si>
  <si>
    <t>D2.10 #28</t>
  </si>
  <si>
    <t>10.3(10)</t>
  </si>
  <si>
    <t>10.3(10) #1</t>
  </si>
  <si>
    <t>มีการขออนุมัติจากผู้บริหารหรือคณะกรรมการที่ได้รับมอบหมายจากผู้ประกอบธุรกิจ ตามกระบวนการบริหารจัดการการเปลี่ยนแปลงที่กำหนดไว้ ก่อนนำระบบขึ้นใช้งานจริง</t>
  </si>
  <si>
    <t>1. สัมภาษณ์ ผู้บริหารด้าน IT หรือ System development เกี่ยวกับกระบวนการขออนุมัติจากผู้บริหารหรือคณะกรรมการที่ได้รับมอบหมายจากผู้ประกอบธุรกิจ ก่อนนำระบบขึ้นใช้งานจริง
2. สอบทาน "ข้อกำหนด/ขั้นตอนปฏิบัติในการออกแบบ พัฒนา ทดสอบ และนำระบบ IT ขึ้นใช้งาน" เพื่อให้มั่นใจว่ามีการกำหนดให้ก่อนที่จะขออนุมัติการนำระบบขึ้นใช้งานจริงควรได้รับการเห็นชอบจากผู้บริหารหรือคณะกรรมการที่ได้รับมอบหมายจากผู้ประกอบธุรกิจ ตามขั้นตอนปฏิบัติในการบริหารจัดการการเปลี่ยนแปลง (change management)
3. สุ่มสอบทาน "เอกสารคำร้อง และ เอกสารประกอบการพัฒนา หรือ แก้ไขเปลี่ยนแปลงระบบ IT" เพี่อให้มั่นใจว่า  มีการพิจารณาอนุมัติโดยผู้บริหารหรือคณะกรรมการที่ได้รับมอบหมายจากผู้ประกอบธุรกิจตามกระบวนการบริหารจัดการการเปลี่ยนแปลงที่กำหนดไว้ เมื่อมีการโอนย้ายระบบงานขึ้นไปยังระบบงานจริง</t>
  </si>
  <si>
    <t>D2.10 #29</t>
  </si>
  <si>
    <t>10.3(10) #2</t>
  </si>
  <si>
    <t>มีการเตรียมความพร้อมในการนำระบบขึ้นใช้งานจริง โดยจัดเก็บระบบเวอร์ชันก่อนการเปลี่ยนแปลงให้พร้อมนำกลับมาใช้งานได้</t>
  </si>
  <si>
    <t>1. สัมภาษณ์ ผู้บริหารด้าน IT หรือ System development เกี่ยวกับขั้นตอนการประเมินความพร้อมและมาตรการป้องกันความเสี่ยงในการนำระบบขึ้นใช้งานจริง
2. สอบทาน "ข้อกำหนด/ขั้นตอนปฏิบัติในการออกแบบ พัฒนา ทดสอบ และนำระบบ IT ขึ้นใช้งาน" เพื่อให้มั่นใจว่ามีมาตรการป้องกันความเสี่ยงในการนำระบบขึ้นใช้งานจริง 
3. สุ่มสอบทาน "ข้อมูลระบบเวอร์ชันก่อนการเปลี่ยนแปลง" เพื่อให้มั่นใจว่ามีการทำการจัดเก็บ ดูแล และทดสอบระบบเวอร์ชันก่อนการเปลี่ยนแปลอย่างปลอดภัยเพื่อรองรับกรณีที่มีความจำเป็นต้อง rollback/fallback ระบบ</t>
  </si>
  <si>
    <t>D2.10 #30</t>
  </si>
  <si>
    <t>10.3(10) #3</t>
  </si>
  <si>
    <t>มีการกำหนดแผนหรือเงื่อนไขการนำระบบใหม่เข้าไปทดแทน (cutover หรือ go-live technique) ที่เหมาะสมกับระดับความเสี่ยง เช่น การเปลี่ยนแปลงไปยังระบบใหม่ทันที (direct changeover) การเปลี่ยนแปลงระบบโดยการใช้งานคู่ขนาน (parallel changeover) หรือ การเปลี่ยนแปลงระบบทีละเฟส (phased changeover) เป็นต้น</t>
  </si>
  <si>
    <t>1. สัมภาษณ์ ผู้บริหารด้านการพัฒนาระบบงาน เกี่ยวกับขั้นตอนการประเมินความพร้อมและมาตรการป้องกันความเสี่ยงในการนำระบบขึ้นใช้งานจริง
2. สอบทาน "ข้อกำหนด/ขั้นตอนปฏิบัติในการออกแบบ พัฒนา ทดสอบ และนำระบบ IT ขึ้นใช้งาน" เพื่อให้มั่นใจว่ามีการจัดทำขั้นตอนการประเมินความพร้อมและมาตรการป้องกันความเสี่ยงในการนำระบบขึ้นใช้งานจริง ได้แก่ การเตรียมเงื่อนไขการนำระบบใหม่เข้าไปทดแทน (cutover หรือ go-live technique) ที่เหมาะสมกับระดับความเสี่ยงและมีความยืดหยุ่นมากพอที่จะรองรับทั้งเหตุการณ์ปกติและไม่ปกติ เช่น parallel changeover, phased changeover หรือ abrupt changeover เป็นต้น
3. สุ่มสอบทาน "เอกสารคำร้อง และ เอกสารประกอบการพัฒนา หรือ แก้ไขเปลี่ยนแปลงระบบ IT" เพื่อให้มั่นใจว่าครอบคลุมการทำการประเมินความพร้อมและมาตรการป้องกันความเสี่ยงในการนำระบบขึ้นใช้งานจริง อย่างถูกต้องครบถ้วน ตามที่กำหนดในข้อกำหนด/ขั้นตอนปฏิบัติฯ</t>
  </si>
  <si>
    <t>การแก้ไขเปลี่ยนแปลงระบบ IT (system change)</t>
  </si>
  <si>
    <t>D2.10 #31</t>
  </si>
  <si>
    <t>10.4 #1</t>
  </si>
  <si>
    <t xml:space="preserve">มีการกำหนดแนวปฏิบัติเรื่องการบริหารจัดการการเปลี่ยนแปลง (change management) หรือแนวปฏิบัติเรื่องการพัฒนาระบบ เพื่อใช้เป็นแนวทางในการดำเนินการแก้ไขเปลี่ยนแปลงระบบ IT (system change) </t>
  </si>
  <si>
    <t xml:space="preserve">1. สัมภาษณ์  ผู้บริหารด้าน IT และ ผู้บริหารทางด้านการพัฒนาระบบงาน  เกี่ยวกับแนวปฏิบัติเรื่องการบริหารจัดการการเปลี่ยนแปลง (change management) หรือแนวปฏิบัติเรื่องการพัฒนาระบบ เพื่อใช้เป็นแนวทางในการดำเนินการแก้ไขเปลี่ยนแปลงระบบ IT (system change) 
2. สอบทาน "ข้อกำหนด/ขั้นตอนปฏิบัติ/แนวปฏิบัติเรื่องการบริหารจัดการการเปลี่ยนแปลง (change management)" หรือ "แนวปฏิบัติเรื่องการพัฒนาระบบ"  เพื่อให้มั่นใจว่าครอบคลุมกระบวนการดังนี้
    (1) มีการประเมินผลกระทบ และจัดลำดับความสำคัญของการเปลี่ยนแปลง
    (2) มีกระบวนการขออนุมัติการเปลี่ยนแปลง (change request) โดยต้องได้รับการอนุมัติจากหน่วยงานเจ้าของระบบ (system owner) เป็นลายลักษณ์อักษร เพื่อให้มั่นใจได้ว่าการเปลี่ยนแปลงได้รับการพิจารณาความจำเป็นอย่างเหมาะสมแล้ว
    (3) มีการทดสอบระบบก่อนนำไปตั้งค่า หรือนำไปติดตั้งบนระบบที่ให้บริการจริง เพื่อลดความเสี่ยงและผลกระทบที่อาจเกิดขึ้น
    (4) มีกระบวนการขออนุมัติจากผู้บริหารหรือคณะกรรมการที่ได้รับมอบหมายจากผู้ประกอบธุรกิจก่อนนำระบบขึ้นใช้งานจริง
    (5) มีกระบวนการหรือเครื่องมือควบคุมการเปลี่ยนแปลงรุ่น (version) ของชุดคำสั่งคอมพิวเตอร์ (source code version control) และรองรับการถอยกลับสู่สภาพเดิม 
    (6) ปรับปรุงรายละเอียดประกอบระบบงานที่ได้มีการแก้ไขเปลี่ยนแปลง เพื่อให้เป็นปัจจุบัน
</t>
  </si>
  <si>
    <t>D2.10 #32</t>
  </si>
  <si>
    <t>10.4(1)-(6)</t>
  </si>
  <si>
    <t xml:space="preserve">มีการแก้ไขเปลี่ยนแปลงระบบ IT (system change) ตามแนวปฏิบัติเรื่องการบริหารจัดการการเปลี่ยนแปลง (change management) และแนวปฏิบัติเรื่องการพัฒนาระบบ ซึ่งประกอบด้วย
    (1) มีการประเมินผลกระทบ และจัดลำดับความสำคัญของการเปลี่ยนแปลง
    (2) มีกระบวนการขออนุมัติการเปลี่ยนแปลง (change request) โดยต้องได้รับการอนุมัติจากหน่วยงานเจ้าของระบบ (system owner) เป็นลายลักษณ์อักษร เพื่อให้มั่นใจได้ว่าการเปลี่ยนแปลงได้รับการพิจารณาความจำเป็นอย่างเหมาะสมแล้ว
    (3) มีการทดสอบระบบก่อนนำไปตั้งค่า หรือนำไปติดตั้งบนระบบที่ให้บริการจริง เพื่อลดความเสี่ยงและผลกระทบที่อาจเกิดขึ้น
    (4) มีกระบวนการขออนุมัติจากผู้บริหารหรือคณะกรรมการที่ได้รับมอบหมายจากผู้ประกอบธุรกิจก่อนนำระบบขึ้นใช้งานจริง
    (5) มีกระบวนการหรือเครื่องมือควบคุมการเปลี่ยนแปลงรุ่น (version) ของชุดคำสั่งคอมพิวเตอร์ (source code version control) และรองรับการถอยกลับสู่สภาพเดิม 
    (6) ปรับปรุงรายละเอียดประกอบระบบงานที่ได้มีการแก้ไขเปลี่ยนแปลง ซึ่งครอบคลุมขั้นตอนการปฏิบัติงาน ระบบงานสำรอง และแผนบริหารความต่อเนื่องทางธุรกิจ (business continuity plan) เพื่อให้เป็นปัจจุบัน และสื่อสารการเปลี่ยนแปลงให้บุคคลที่เกี่ยวข้องได้รับทราบเพื่อให้สามารถปฏิบัติงานได้อย่างถูกต้อง </t>
  </si>
  <si>
    <t xml:space="preserve">1. สัมภาษณ์ ผู้บริหารด้าน IT และ ผู้บริหารทางด้านการพัฒนาระบบงาน เกี่ยวกับแนวปฏิบัติเรื่องการบริหารจัดการการเปลี่ยนแปลง (change management) และแนวปฏิบัติเรื่องการพัฒนาระบบ
2. สุ่มการแก้ไขเปลี่ยนแปลงระบบ IT ที่เกิดขึ้น เพื่อสอบทานเอกสารประกอบการแก้ไขดังกล่าว  เพื่อให้มั่นใจว่า ในการแก้ไขเปลี่ยนแปลงระบบ IT ทุกครั้ง มีการดำเนินการ ดังต่อไปนี้
   (1) มีการประเมินผลกระทบ และจัดลำดับความสำคัญของการเปลี่ยนแปลง
   (2) มีกระบวนการขออนุมัติการเปลี่ยนแปลง (change request) โดยต้องได้รับการอนุมัติจากหน่วยงานเจ้าของระบบ (system owner) เป็นลายลักษณ์อักษร เพื่อให้มั่นใจได้ว่าการเปลี่ยนแปลงได้รับการพิจารณาความจำเป็นอย่างเหมาะสมแล้ว
   (3) มีการทดสอบระบบก่อนนำไปตั้งค่า หรือนำไปติดตั้งบนระบบที่ให้บริการจริง เพื่อลดความเสี่ยงและผลกระทบที่อาจเกิดขึ้น
   (4) มีกระบวนการขออนุมัติจากผู้บริหารหรือคณะกรรมการที่ได้รับมอบหมายจากผู้ประกอบธุรกิจก่อนนำระบบขึ้นใช้งานจริง
   (5) มีกระบวนการหรือเครื่องมือควบคุมการเปลี่ยนแปลงรุ่น (version) ของชุดคำสั่งคอมพิวเตอร์ (source code version control) และรองรับการถอยกลับสู่สภาพเดิม 
   (6) ปรับปรุงรายละเอียดประกอบระบบงานที่ได้มีการแก้ไขเปลี่ยนแปลง ซึ่งครอบคลุมขั้นตอนการปฏิบัติงาน ระบบงานสำรอง และแผนบริหารความต่อเนื่องทางธุรกิจ (business continuity plan) เพื่อให้เป็นปัจจุบัน และสื่อสารการเปลี่ยนแปลงให้บุคคลที่เกี่ยวข้องได้รับทราบเพื่อให้สามารถปฏิบัติงานได้อย่างถูกต้อง 
</t>
  </si>
  <si>
    <t>ส่วนที่ 11 การบริหารจัดการเหตุการณ์ผิดปกติด้าน IT (IT incident management)</t>
  </si>
  <si>
    <t>D2.11 #1</t>
  </si>
  <si>
    <t>11.1 #1</t>
  </si>
  <si>
    <t>มีการกำหนดหน่วยงานหรือบุคลากรที่มีหน้าที่รับแจ้งเหตุการณ์ (point of contact) โดยทำหน้าที่ในการบันทึกข้อมูล แก้ไขในเบื้องต้น หรือส่งต่อเหตุการณ์ผิดปกติไปยังหน่วยงานด้าน IT ที่เกี่ยวข้อง</t>
  </si>
  <si>
    <t xml:space="preserve">1. สัมภาษณ์ ผู้บริหารด้าน IT เกี่ยวกับ การมอบหมายหน่วยงานหรือบุคลากรที่มีหน้าที่รับแจ้งเหตุการณ์ (point of contact) เพื่อทำการบันทึกข้อมูล แก้ไขในเบื้องต้น หรือส่งต่อเหตุการณ์ผิดปกติไปยังหน่วยงานด้าน IT ที่เกี่ยวข้อง รวมถึงมีการกำหนดช่องทางการรับแจ้งเหตุการณ์ผิดปกติด้าน IT อย่างทันท่วงทีจากบุคลากร ผู้ใช้บริการ และผู้ที่เกี่ยวข้อง เช่น อีเมล โทรศัพท์ แบบฟอร์มติดต่อทางเว็บไซต์ และสื่อสังคมออนไลน์ เป็นต้น 
2. สอบทาน "หลักฐานการสื่อสารช่องทางรับแจ้งเหตุการณ์ผิดปกติด้าน IT" เพื่อให้มั่นใจว่า มีการสื่อสารช่องทางรับแจ้งเหตุการณ์ผิดปกติด้าน IT ให้บุคลากร ผู้ใช้บริการ และผู้ที่เกี่ยวข้องรับทราบ
3. สอบทาน "บันทึกเหตุการณ์ผิดปกติด้าน IT" เพื่อให้มั่นใจว่ามีการบันทึกข้อมูลเหตุการณ์ผิดปกติด้าน IT การแก้ไขในเบื้องต้น หรือการส่งต่อเหตุการณ์ผิดปกติไปยังหน่วยงานด้าน IT หรือบุคคลภายนอกที่เกี่ยวข้อง </t>
  </si>
  <si>
    <t>D2.11 #2</t>
  </si>
  <si>
    <t>11.2 #1</t>
  </si>
  <si>
    <t xml:space="preserve">มีการจัดทำแผนการบริหารจัดการ หรือแผนการรับมือกับเหตุการณ์ผิดปกติ (incident response plan) ตามความสำคัญของเหตุการณ์  เพื่อให้สามารถรับมือและตอบสนองต่อเหตุการณ์ได้อย่างรวดเร็วและทันการณ์ </t>
  </si>
  <si>
    <t>1. สัมภาษณ์ ผู้บริหารด้าน IT เกี่ยวกับ การจัดทำและสื่อสารแผนการบริหารจัดการหรือแผนการรับมือกับเหตุการณ์ผิดปกติ (incident response plan) ตามความสำคัญของเหตุการณ์  เพื่อให้สามารถรับมือและตอบสนองต่อเหตุการณ์ได้อย่างรวดเร็วและทันการณ์ 
2. สอบทาน “แผนการบริหารจัดการหรือแผนการรับมือกับเหตุการณ์ผิดปกติ (incident response plan)" เพื่อมั่นใจว่ามีเนื้อหาครอบคลุมกระบวนการ บทบาท และหน้าที่ความรับผิดชอบที่เกี่ยวข้อง อย่างน้อยดังนี้ 
   (1) การตรวจสอบความถูกต้องข้อมูลที่ได้รับแจ้ง
   (2) การจัดประเภท และความเร่งด่วนของเหตุการณ์ เพื่อดำเนินการแก้ไขปัญหาภายในระยะเวลาที่เหมาะสม
   (3) การกำหนดแนวทางการแก้ไขเหตุการณ์  ตลอดจนการจัดให้มีช่องทางประสานงานจากผู้เชี่ยวชาญทั้งภายในและภายนอก
   (4) การรายงานเหตุการณ์ผิดปกติ  และรายงานความคืบหน้าของเหตุการณ์ต่อผู้บริหารระดับสูง และคณะกรรมการของผู้ประกอบธุรกิจให้รับทราบ (incident escalation) ตามระดับความรุนแรงของเหตุการณ์
   (5) การแจ้งหรือสื่อสารลูกค้า 
   (6) การตรวจพิสูจน์พยานหลักฐานทางดิจิทัล (digital forensic) ในกรณีภัยคุกคามทางไซเบอร์ซึ่งส่งผลกระทบอย่างมีนัยสำคัญต่อทรัพย์สินและข้อมูลของลูกค้า โดยผู้ที่มีความเชี่ยวชาญเพื่อให้ทราบสาเหตุหรือช่องโหว่ของระบบ และสามารถดำเนินการปิดช่องโหว่ได้อย่างปลอดภัย
(M4) 3. สอบทาน "หลักฐานการสอบทานแผนการรับมือกับเหตุการณ์ผิดปกติ "โดยบุคคลหรือหน่วยงานที่มีความเป็นอิสระจากหน่วยงานที่ทำหน้าที่ปฏิบัติงานเพื่อให้มั่นใจว่า มีการจัดทำและสื่อสารแผนการรับมือกับเหตุการณ์ผิดปกติที่มีรายละเอียดเพียงพอพร้อมใช้งานและเป็นปัจจุบัน
(M5) 4. สอบทาน "หลักฐานการติดตามเชิงรุกต่อภัยคุกคามทางไซเบอร์" เพื่อนำข้อมูลมาปรับปรุงแผนการรับมือเหตุการณ์ผิดปกติ (incident response plan) ให้สามารถรองรับภัยไซเบอร์รูปแบบใหม่ หรือมีความเสี่ยงสูงได้อย่างมีประสิทธิภาพยิ่งขึ้น</t>
  </si>
  <si>
    <t>ไม่มีการจัดทำแผนการรับมือเหตุการณ์ผิดปกติ (incident response plan)</t>
  </si>
  <si>
    <t>มีการจัดทำแผนการรับมือเหตุการณ์ผิดปกติ (incident response plan) แต่มีเนื้อหาไม่ครบถ้วนครอบคลุม หรือยังไม่ได้รับการอนุมัติจากผู้มีอำนาจ</t>
  </si>
  <si>
    <t>มีการจัดทำแผนการรับมือเหตุการณ์ผิดปกติ (incident response plan) ที่มีเนื้อหาครบถ้วนตามแนวปฏิบัติ และได้รับการอนุมัติจากผู้มีอำนาจ</t>
  </si>
  <si>
    <t>มีการจัดทำตาม Maturity Level 3 รวมถึงมีการสอบทานแผนการรับมือกับเหตุการณ์ผิดปกติ (incident response plan)โดยบุคคลหรือหน่วยงานที่มีความเป็นอิสระจากหน่วยงานที่ทำหน้าที่ปฏิบัติงาน  เพื่อให้มั่นใจว่า มีการจัดทำแผนการรับมือเหตุการณ์ผิดปกติ (incident response plan) ที่มีรายละเอียดเพียงพอพร้อมใช้งาน และเป็นปัจจุบัน</t>
  </si>
  <si>
    <t>มีการจัดทำตาม Maturity Level 4 รวมถึงมีการติดตามเชิงรุกต่อการเปลี่ยนแปลงด้านความเสี่ยง IT และภัยคุกคามทางไซเบอร์ เพื่อนำข้อมูลมาปรับปรุงแผนการรับมือเหตุการณ์ผิดปกติ (incident response plan) ให้สามารถรองรับภัยไซเบอร์รูปแบบใหม่ หรือมีความเสี่ยงสูงได้อย่างมีประสิทธิภาพยิ่งขึ้น</t>
  </si>
  <si>
    <t>D2.11 #3</t>
  </si>
  <si>
    <t>1(1)-1(2)</t>
  </si>
  <si>
    <t>11.2 #1(1)-1(2)</t>
  </si>
  <si>
    <t>มีการตรวจสอบความถูกต้องของข้อมูลที่ได้รับแจ้ง รวมทั้ง มีการจัดประเภทและความเร่งด่วนของเหตุการณ์ เพื่อดำเนินการแก้ไขปัญหาภายในระยะเวลาที่เหมาะสม</t>
  </si>
  <si>
    <t>1. สัมภาษณ์ ผู้บริหารด้าน IT เกี่ยวกับการตรวจสอบความถูกต้องของข้อมูลที่ได้รับแจ้ง และการจัดประเภทและความเร่งด่วนของเหตุการณ์ รวมทั้งตัดสินใจว่าเหตุการณ์ดังกล่าวสามารถถูกจัดอยู่ในประเภทของเหตุการณ์ด้านความมั่นคงปลอดภัยสารสนเทศหรือไม่
2. สอบทาน  "แผนการบริหารจัดการหรือแผนการรับมือกับเหตุการณ์ผิดปกติ (incident response plan)" เพื่อให้มั่นใจว่ามีการกำหนดเกณฑ์การแบ่งประเภทเหตุการณ์และจัดลำดับความสำคัญของเหตุการณ์  อย่างเหมาะสมกับความเสี่ยงของระบบสารสนเทศ รวมทั้งมีการกำหนดเกณฑ์การตัดสินใจว่าเหตุการณ์ใดบ้างสามารถถูกจัดอยู่ในประเภทของเหตุการณ์ด้านความมั่นคงปลอดภัยสารสนเทศได้
3. สอบทาน "เกณฑ์การจัดประเภทของเหตุการณ์" เพื่อให้มั่นใจว่า มีการนำผลกระทบและความเร่งด่วนมาพิจารณาประกอบการจัดประเภทของเหตุการณ์อย่างเหมาะสม
4. สุ่มสอบทาน "บันทึกเหตุการณ์ผิดปกติด้าน IT" หรือ "เอกสารประกอบการรายงานเหตุการณ์" เพื่อให้มั่นใจว่ามีจัดประเภทของเหตุการณ์สอดคล้องตามเกณฑ์ที่บริษัทกำหนดไว้</t>
  </si>
  <si>
    <t>D2.11 #4</t>
  </si>
  <si>
    <t>11.2 #1(3)</t>
  </si>
  <si>
    <t xml:space="preserve">มีการวิเคราะห์ข้อมูล (analysis) การจำกัดความเสียหาย (containment) การจัดเก็บหลักฐานอย่างปลอดภัย (evidence gathering) การหาแนวทางแก้ไข (resolution research) และการแก้ไขปัญหาและฟื้นฟูระบบ (eradication and recovery) ตลอดจนการจัดให้มีช่องทางประสานงานจากผู้เชี่ยวชาญทั้งภายในและภายนอก </t>
  </si>
  <si>
    <t xml:space="preserve">1. สุ่มสอบทาน "บันทึกเหตุการณ์ผิดปกติด้าน IT" หรือ "เอกสารประกอบการรายงานเหตุการณ์" เพื่อให้มั่นใจว่ามีการดำเนินการตามแนวทางในการแก้ไขเหตุการณ์ที่บริษัทกำหนดไว้อย่างเหมาะสม ตลอดจนการจัดให้มีช่องทางประสานงานจากผู้เชี่ยวชาญทั้งภายในและภายนอก โดยครอบคลุม 
    (1) การวิเคราะห์ข้อมูล (analysis)
    (2) การจำกัดความเสียหาย (containment)
    (3) การจัดเก็บหลักฐานอย่างปลอดภัย และคำนึงถึงการรักษาความถูกต้องครบถ้วนของแหล่งที่มาตามวิธีปฏิบัติที่ถูกกำหนดไว้ (evidence gathering) 
    (4) การหาแนวทางการแก้ไข (resolution research) 
    (5) การแก้ไขปัญหาและฟื้นฟูระบบ (eradication and recovery) </t>
  </si>
  <si>
    <t>D2.11 #5</t>
  </si>
  <si>
    <t>11.2 #1(4)</t>
  </si>
  <si>
    <t>มีการรายงานเหตุการณ์ผิดปกติ (incident escalation) และรายงานความคืบหน้าของเหตุการณ์ต่อผู้บริหารระดับสูง และคณะกรรมการของผู้ประกอบธุรกิจตามระดับความรุนแรงของเหตุการณ์</t>
  </si>
  <si>
    <t>1. สุ่มสอบทาน "บันทึกเหตุการณ์ผิดปกติด้าน IT" หรือ "เอกสารประกอบการรายงานเหตุการณ์" เพื่อให้มั่นใจว่ามีการรายงานเหตุการณ์ผิดปกติ (incident escalation) ต่อผู้ที่เกี่ยวข้องตามระดับความรุนแรงของเหตุการณ์อย่างเหมาะสม ตามขั้นตอนปฏิบัติที่ถูกกำหนดไว้
2. สุ่มสอบทาน "รายงานคณะกรรมการผู้ประกอบธุรกิจ" หรือ "รายงานคณะกรรมการที่ได้รับมอบหมายจากคณะกรรมการผู้ประกอบธุรกิจ" เพื่อให้มั่นใจว่ามีการรายงานความคืบหน้าของเหตุการณ์ความผิดปกติให้ผู้บริหารรับทราบอย่างต่อเนื่อง และเป็นไปตามขั้นตอนปฏิบัติที่ถูกกำหนดไว้</t>
  </si>
  <si>
    <t>D2.11 #6</t>
  </si>
  <si>
    <t>11.2 #1(5)</t>
  </si>
  <si>
    <t xml:space="preserve">มีการแจ้งหรือสื่อสารลูกค้า โดยกำหนดผู้รับผิดชอบในการสื่อสารไปยังลูกค้า และช่องทางการสื่อสาร เพื่อให้ลูกค้ารับทราบผลกระทบและความคืบหน้าการแก้ไขเหตุการณ์ผิดปกติ ตลอดจนให้คำแนะนำการใช้บริการในทางช่องทางอื่น (ถ้ามี) ระหว่างที่บริการที่เกิดเหตุยังไม่สามารถกลับมาใช้งานได้ปกติ เพื่อให้ลูกค้าได้มีทางเลือกในการจัดการธุรกรรมของตนเอง </t>
  </si>
  <si>
    <t>1. สัมภาษณ์ ผู้บริหารด้าน IT เกี่ยวกับการมอบหมายหน่วยงานหรือบุคลากรในการสื่อสารไปยังลูกค้า และ กำหนดช่องทางการสื่อสาร เพื่อให้ลูกค้ารับทราบผลกระทบและความคืบหน้าการแก้ไขเหตุการณ์ผิดปกติ
2. สอบทาน “หลักฐานการสื่อสารเหตุการณ์ผิดปกติ" เพื่อให้มั่นใจว่ามีการสื่อสารผลกระทบและความคืบหน้าการแก้ไขเหตุการณ์ผิดปกติตามขั้นตอนปฏิบัติที่ถูกกำหนดไว้ ให้ลูกค้ารับทราบตลอดจนให้คำแนะนำการใช้บริการในทางช่องทางอื่น (ถ้ามี) ระหว่างที่บริการที่เกิดเหตุยังไม่สามารถกลับมาใช้งานได้ปกติ</t>
  </si>
  <si>
    <t>D2.11 #7</t>
  </si>
  <si>
    <t>11.2 #1(6)</t>
  </si>
  <si>
    <t xml:space="preserve">มีการตรวจพิสูจน์พยานหลักฐานทางดิจิทัล (digital forensic) ในกรณีภัยคุกคามทางไซเบอร์ซึ่งส่งผลกระทบอย่างมีนัยสำคัญต่อทรัพย์สินและข้อมูลของลูกค้า โดยผู้ที่มีความเชี่ยวชาญ เพื่อให้ทราบสาเหตุหรือช่องโหว่ของระบบ และสามารถดำเนินการปิดช่องโหว่ได้อย่างปลอดภัย  </t>
  </si>
  <si>
    <t xml:space="preserve">M </t>
  </si>
  <si>
    <t>1. สุ่มสอบทาน "บันทึกเหตุการณ์ผิดปกติด้าน IT" หรือ "เอกสารประกอบการรายงานเหตุการณ์" กรณีที่มีภัยคุกคามทางไซเบอร์ซึ่งส่งผลกระทบอย่างมีนัยสำคัญ ต่อทรัพย์สินและข้อมูลของลูกค้า เพื่อให้มั่นใจว่ามีการตรวจพิสูจน์พยานหลักฐานทางดิจิทัล (digital forensic) โดยผู้ที่มีความเชี่ยวชาญเพื่อให้ทราบสาเหตุหรือช่องโหว่ของระบบ และสามารถดำเนินการปิดช่องโหว่ได้อย่างปลอดภัย
2. สอบทาน "ขั้นตอนปฏิบัติการเก็บรวบรวมหลักฐาน" ซึ่งครอบคลุมการระบุ การรวบรวม การค้นหาให้ได้มา และการเก็บรักษาหลักฐานของเหตุการณ์ผิดปกติด้าน IT</t>
  </si>
  <si>
    <t>D2.11 #8</t>
  </si>
  <si>
    <t>11.3 #1-2</t>
  </si>
  <si>
    <t>มีการรายงานเหตุการณ์ผิดปกติด้าน IT ต่อผู้มีหน้าที่รับผิดชอบเหตุการณ์ของผู้ประกอบธุรกิจ และสำนักงานโดยไม่ชักช้าเมื่อทราบเหตุการณ์</t>
  </si>
  <si>
    <t>1. สอบทาน "แผนการบริหารจัดการหรือแผนการรับมือกับเหตุการณ์ผิดปกติ (incident response plan)" เพื่อให้มั่นใจว่ากำหนดให้มีการรายงานเหตุการณ์ที่มีการละเมิดกฎหมาย กฎ และระเบียบที่เกี่ยวข้องกับผู้ประกอบธุรกิจ ต่อหน่วยงาน ที่เกี่ยวข้องโดยไม่ชักช้า ภายในระยะเวลาที่กฎหมายกำหนดไว้ เช่น รายงานเหตุการณ์ที่ส่งผลกระทบต่อลูกค้าในวงกว้างต่อสำนักงานภายใน 3 ชั่วโมง และรายงานเหตุการณ์ข้อมูลส่วนบุคคลของลูกค้ารั่วไหลต่อสำนักงานคณะกรรมการคุ้มครองข้อมูลส่วนบุคคล ภายใน 72 ชั่วโมง เป็นต้น
2. สุ่มสอบทาน “หลักฐานการรายงานเหตุการณ์ผิดปกติต่อหน่วยงานกำกับดูแล" เพื่อให้มั่นใจว่า มีการรายงานเหตุการณ์ที่มีการละเมิดกฎหมาย กฎ และระเบียบที่เกี่ยวข้องกับผู้ประกอบธุรกิจต่อหน่วยงานที่เกี่ยวข้องโดยไม่ชักช้าภายในระยะเวลาที่กฎหมายกำหนดไว้
3. สุ่มสอบทาน “หลักฐานการรายงานเหตุการณ์ผิดปกติต่อหน่วยงานกำกับดูแล" เพื่อให้มั่นใจว่า มีการรายงานเหตุการณ์ด้าน IT ที่อาจส่งผลกระทบต่อการดำเนินงาน ธุรกิจ ชื่อเสียง ฐานะ ผลการดำเนินงานของผู้ประกอบธุรกิจ หรือผลประโยชน์ของลูกค้าในวงกว้าง โดยครอบคลุมเหตุการณ์อย่างน้อยดังต่อไปนี้
    (1) การละเมิดต่อข้อมูลส่วนบุคคลอันเนื่องมาจากเหตุการณ์ผิดปกติด้าน IT 
    (2) การสูญหายหรือความเสียหายต่อทรัพย์สินของลูกค้า
    (3) การบุกรุก เข้าถึง หรือใช้งานระบบโดยไม่ได้รับอนุญาต (system compromised)
    (4) เหตุการณ์ที่ส่งผลกระทบต่อชื่อเสียงของผู้ประกอบธุรกิจ (harm to reputation)
    (5) การหยุดชะงักของระบบงาน (system disruption) ในช่วงเวลาทำการของผู้ประกอบธุรกิจ</t>
  </si>
  <si>
    <t>D2.11 #9</t>
  </si>
  <si>
    <t>11.3 #3</t>
  </si>
  <si>
    <t>มีการรายงานเหตุการณ์ต่อสำนักงานภายในกรอบระยะเวลาที่กำหนด</t>
  </si>
  <si>
    <t>1. สอบทานว่ามีการลงทะเบียนผู้ใช้งานระบบ incident report ของสำนักงาน ก.ล.ต. (https://web-incident.sec.or.th/) เพื่อให้มั่นใจว่าสามารถรายงาน incident ต่อสำนักงานผ่านช่องทางอิเล็กทรอนิกส์ที่กำหนดได้
2. สอบทาน “ข้อมูลที่ได้มีการรายงานสำนักงานผ่าน https://web-incident.sec.or.th/” เพื่อให้มั่นใจว่ามีการรายงานเหตุการณ์ภายในกรอบระยะเวลา ดังนี้
หากทราบเหตุการณ์ในวันทำการของสำนักงาน ระหว่างเวลา 8.30 น.– 16.30 น.
(1) รายงานโดยไม่ชักช้า ภายใน 3 ชั่วโมงนับแต่ทราบเหตุการณ์ โดยมีเนื้อหาครอบคลุมถึงวันเวลา ประเภทเหตุการณ์ เหตุการณ์ และผลกระทบที่คาดว่าจะเกิดขึ้น ทั้งนี้ สามารถแจ้งโดยวาจาหรือรายงานผ่านช่องทางอิเล็กทรอนิกส์ ตามที่สำนักงานกำหนดตามความเหมาะสม
(2) รายงานความคืบหน้า เมื่อมีการเปลี่ยนแปลงสถานการณ์ หรือตามที่สำนักงานร้องขอ จนกว่าระบบ IT จะกลับสู่การให้บริการได้อย่างเป็นปกติ โดยมีเนื้อหาครอบคลุมถึงวันเวลา ประเภทเหตุการณ์ เหตุการณ์ ผลกระทบที่เกิดขึ้นและความคืบหน้าในการแก้ไขปัญหา ทั้งนี้ ให้รายงานผ่านช่องทางอิเล็กทรอนิกส์ที่สำนักงานกำหนด
(3) รายงานเมื่อเหตุการณ์ยุติหรือแก้ไขปัญหาแล้วเสร็จ โดยมีเนื้อหาครอบคลุมถึงวันเวลา ประเภทเหตุการณ์ เหตุการณ์ ผลกระทบที่เกิดขึ้น การดำเนินการแก้ไขปัญหา ผลการแก้ไขปัญหา ระยะเวลาในการแก้ไข สาเหตุที่เกิดปัญหา และแนวทางป้องกันในอนาคต ทั้งนี้ ให้รายงานผ่านช่องทางอิเล็กทรอนิกส์ที่สำนักงานกำหนด
หากพบเหตุการณ์นอกเวลาที่กำหนดข้างต้น
(1) รายงานโดยไม่ชักช้า ภายในเวลา 10.00 น. ของวันทำการ ถัดไป โดยมีเนื้อหาครอบคลุมถึงวันเวลา ประเภท เหตุการณ์ เหตุการณ์ และผลกระทบที่คาดว่าจะเกิดขึ้น ทั้งนี้ สามารถแจ้งโดยวาจาหรือรายงานผ่านช่องทางอิเล็กทรอนิกส์ตามที่สำนักงานกำหนดตามความเหมาะสม
(2) รายงานความคืบหน้า เมื่อมีการเปลี่ยนแปลงสถานการณ์ หรือตามที่สำนักงานร้องขอ จนกว่าระบบ IT จะกลับสู่การให้บริการได้อย่างเป็นปกติ โดยมีเนื้อหาครอบคลุมถึงวันเวลา ประเภทเหตุการณ์ เหตุการณ์ ผลกระทบที่เกิดขึ้น และความคืบหน้าในการแก้ไขปัญหา ทั้งนี้ ให้รายงานผ่านช่องทางอิเล็กทรอนิกส์ที่สำนักงานกำหนด</t>
  </si>
  <si>
    <t>D2.11 #10</t>
  </si>
  <si>
    <t>11.3 #4</t>
  </si>
  <si>
    <t>หน่วยงานโครงสร้างพื้นฐานที่สำคัญทางสารสนเทศ (critical information infrastructure organization หรือ CII organization) มีการกำหนดวิธีรายงานเหตุการณ์ผิดปกติต่อสำนักงาน และ หน่วยงานกำกับดูแลที่เกี่ยวข้อง ภายในกรอบระยะเวลาตามที่คณะกรรมการการรักษาความมั่นคงปลอดภัยไซเบอร์แห่งชาติกำหนด</t>
  </si>
  <si>
    <t>1.สอบทาน “ข้อมูลที่ได้มีการรายงานสำนักงานผ่าน https://web-incident.sec.or.th/” หรือขั้นตอนการรายงานเหตุการณ์ผิดปกติ เพื่อให้มั่นใจว่ามีการรายงานเหตุการณ์ภายในกรอบระยะเวลาตามที่คณะกรรมการการรักษาความมั่นคงปลอดภัยไซเบอร์แห่งชาติกำหนด
2. สอบทาน "รายงานเหตุการณ์ที่ได้มีการรายงานไปยังหน่วยงานกำกับดูแลที่เกี่ยวข้อง" เพื่อให้มั่นใจว่ามีการรายงานเหตุการณ์ไปยังหน่วยงานที่เกี่ยวข้องครบถ้วน เช่น สำนักงานคณะกรรมการการรักษาความมั่นคงปลอดภัยไซเบอร์แห่งชาติ (สกมช.) หรือ สำนักงานคณะกรรมการคุ้มครองข้อมูลส่วนบุคคล (สคส.)</t>
  </si>
  <si>
    <t>D2.11 #11</t>
  </si>
  <si>
    <t>11.4 #1</t>
  </si>
  <si>
    <t xml:space="preserve">มีการตรวจหา ติดตาม วิเคราะห์ และรายงานเหตุการณ์ผิดปกติด้าน IT  เพื่อหาแนวทางการแก้ไขจากสาเหตุที่แท้จริง  และนำบทเรียน (lesson learned) จากเหตุการณ์ไปป้องกันไม่ให้เกิดเหตุการณ์ซ้ำในอนาคต หรือปรับปรุงกระบวนการรับมือเหตุการณ์ผิดปกติให้มีประสิทธิภาพดีขึ้น </t>
  </si>
  <si>
    <t xml:space="preserve">1. สุ่มสอบทาน "บันทึกเหตุการณ์ผิดปกติด้าน IT" หรือ "เอกสารประกอบการรายงานเหตุการณ์" เพื่อให้มั่นใจว่ามีการวิเคราะห์สาเหตุที่แท้จริง (root cause) ของเหตุการณ์ผิดปกติด้าน IT และนำบทเรียน (lesson learned) เพื่อกำหนดแนวทางการแก้ไข และป้องกันไม่ให้เกิดเหตุการณ์ซ้ำในอนาคต รวมทั้งปรับปรุงกระบวนการรับมือเหตุการณ์ผิดปกติให้มีประสิทธิภาพดีขึ้น 
2. สุ่มสอบทาน "รายงานคณะกรรมการผู้ประกอบธุรกิจ" หรือ "รายงานคณะกรรมการที่ได้รับมอบหมายจากคณะกรรมการผู้ประกอบธุรกิจ" เพื่อให้มั่นใจว่ามีการรายงานผลการวิเคราะห์สาเหตุที่แท้จริงของเหตุการณ์ผิดปกติด้าน IT รวมทั้ง มีการรายงานแนวทางป้องกันไม่ให้เกิดเหตุการณ์ซ้ำในอนาคตหรือปรับปรุงกระบวนการรับมือเหตุการณ์ผิดปกติให้มีประสิทธิภาพดีขึ้น </t>
  </si>
  <si>
    <t>D2.11 #12</t>
  </si>
  <si>
    <t>11.5 #1</t>
  </si>
  <si>
    <t>บันทึกข้อมูลที่เกี่ยวข้องกับการบริหารจัดการเหตุการณ์ผิดปกติด้าน IT ในรูปแบบที่เป็นมาตรฐานซึ่งมีเนื้อหาขั้นต่ำประกอบด้วย วันเวลาที่เกิดเหตุการณ์ รายละเอียดเหตุการณ์ ผลกระทบ วิธีการแก้ไข วันเวลาที่สิ้นสุดเหตุการณ์ สาเหตุที่เกิดปัญหา และแนวทางการป้องกันในอนาคต โดยมีการจัดเก็บข้อมูลดังกล่าวเป็นระยะเวลาไม่น้อยกว่า 2 ปีนับแต่วันที่เกิดเหตุการณ์นั้น ในลักษณะที่พร้อมให้สำนักงานสามารถเรียกดูและตรวจสอบได้โดยไม่ชักช้า</t>
  </si>
  <si>
    <t xml:space="preserve">1. สอบทาน “บันทึกเหตุการณ์ผิดปกติด้าน IT" เพื่อให้มั่นใจว่า
    (1) มีรูปแบบที่เป็นมาตรฐาน โดยมีเนื้อหาขั้นต่ำประกอบด้วย วันเวลาที่เกิดเหตุการณ์ รายละเอียดเหตุการณ์ ผลกระทบ วิธีการแก้ไข วันเวลาที่สิ้นสุดเหตุการณ์ สาเหตุที่เกิดปัญหา และแนวทางการป้องกันในอนาคต
    (2) มีการเก็บบันทึกข้อมูลเหตุการณ์ไว้อย่างน้อย 2 ปี โดยคำนึงถึงการรักษาความถูกต้องครบถ้วนของแหล่งที่มา
    (3) มีการจัดเก็บไว้ในลักษณะที่พร้อมให้เรียกดูและตรวจสอบได้ทันที </t>
  </si>
  <si>
    <t>D2.11 #13</t>
  </si>
  <si>
    <t>11.6 #1(1)</t>
  </si>
  <si>
    <t>มีการทดสอบและทบทวนขั้นตอนปฏิบัติหรือแผนการบริหารจัดการเหตุการณ์ผิดปกติด้าน IT อย่างน้อยปีละ 1 ครั้ง ผ่านการทดสอบการบริหารจัดการเหตุการณ์ด้านภัยคุกคามทางไซเบอร์ (cyber security drill) ซึ่งมีการจำลองสถานการณ์เสี่ยง (risk scenario) ด้านเหตุการณ์ภัยคุกคามทางไซเบอร์ที่มีความเป็นไปได้ที่จะเกิดขึ้น ดังนี้
    (1) เป็นสถานการณ์ที่สอดคล้องกับลักษณะ ขอบเขต และความซับซ้อนในการประกอบธุรกิจของผู้ประกอบธุรกิจ
    (2) เป็นสถานการณ์ที่สอดคล้องกับแนวโน้มภัยคุกคามไซเบอร์ที่อาจเกิดขึ้นกับผู้ประกอบธุรกิจ 
    (3)  เป็นสถานการณ์ที่เมื่อเกิดขึ้นแล้ว จะส่งผลกระทบต่อระบบสารสนเทศอย่างมีนัยสำคัญ</t>
  </si>
  <si>
    <t>1. สัมภาษณ์ ผู้บริหารด้าน IT หรือผู้บริหารที่เกี่ยวข้อง เกี่ยวกับการดำเนินการจัดการทดสอบ และทบทวนขั้นตอนปฏิบัติหรือแผนการบริหารจัดการเหตุการณ์ผิดปกติด้าน IT ซึ่งครอบคลุมกระบวนการ บทบาท และหน้าที่ความรับผิดชอบที่เกี่ยวข้อง
2. สอบทาน “เอกสารรายงานผลการทดสอบ cyber security drill หรือ cyber security exercise" เพื่อให้มั่นใจว่า มีการทดสอบและทบทวนขั้นตอนปฏิบัติหรือแผนการบริหารจัดการเหตุการณ์ผิดปกติด้าน IT  อย่างน้อยปีละ 1 ครั้ง ผ่านการจำลองสถานการณ์เสี่ยง (risk scenarios) ด้านเหตุการณ์ภัยคุกคามทางไซเบอร์
3. สอบทาน “เอกสารรายงานผลการทดสอบ cyber security drill หรือ cyber security exercise" เพื่อให้มั่นใจว่า สถานการณ์เสี่ยง (risk scenarios) ด้านเหตุการณ์ภัยคุกคามทางไซเบอร์ที่ใช้ในการทดสอบมีลักษณะ ดังนี้
    (1) เป็นสถานการณ์ที่สอดคล้องกับลักษณะ ขอบเขต และความซับซ้อนในการประกอบธุรกิจของผู้ประกอบธุรกิจ
    (2) เป็นสถานการณ์ที่สอดคล้องกับแนวโน้มภัยคุกคามไซเบอร์ที่อาจเกิดขึ้นกับผู้ประกอบธุรกิจ 
    (3) เป็นสถานการณ์ที่เมื่อเกิดขึ้นแล้ว จะส่งผลกระทบต่อระบบสารสนเทศอย่างมีนัยสำคัญ</t>
  </si>
  <si>
    <t>D2.11 #14</t>
  </si>
  <si>
    <t>11.6 #1(2)</t>
  </si>
  <si>
    <t>มีการจัดเก็บเอกสารหลักฐานที่เกี่ยวข้องกับทดสอบแผนการบริหารจัดการเหตุการณ์ผิดปกติด้าน IT โดยมีรายละเอียดครบถ้วนและเป็นปัจจุบัน  ดังนี้
    (1) สถานการณ์ความเสี่ยง (risk scenario) รูปแบบการทดสอบ วัน เวลา สถานที่ในการทดสอบ และบทบาทหน้าที่ของผู้ที่เกี่ยวข้องที่ใช้ในการทดสอบ
    (2) สรุปผลการทดสอบ ผลการประเมิน และ ผลการทบทวนขั้นตอนการบริหารจัดการเหตุการณ์</t>
  </si>
  <si>
    <t>1. สอบทาน “เอกสารรายงานผลการทดสอบการจำลองสถานการณ์เสี่ยง (risk scenarios)” เพื่อให้มั่นใจว่า เอกสารที่มีการจัดเก็บมีการคำนึงถึงการรักษาความถูกต้องครบถ้วนของแหล่งที่มา และประกอบด้วยข้อมูลที่ครบถ้วนและเป็นปัจจุบัน ดังนี้
    (1) สถานการณ์ความเสี่ยง (risk scenario) รูปแบบการทดสอบ วัน เวลา สถานที่ในการทดสอบ และบทบาทหน้าที่ของผู้ที่เกี่ยวข้องที่ใช้ในการทดสอบ
    (2) สรุปผลการทดสอบ ผลการประเมิน และ ผลการทบทวนขั้นตอนการบริหารจัดการเหตุการณ์</t>
  </si>
  <si>
    <t>D2.11 #15</t>
  </si>
  <si>
    <t>11.6 #1(3)</t>
  </si>
  <si>
    <t xml:space="preserve">มีการรายงานผลการทดสอบและทบทวนแผนการบริหารจัดการเหตุการณ์ผิดปกติต่อคณะกรรมการของผู้ประกอบธุรกิจหรือผู้ที่ได้รับมอบหมายจากคณะกรรมการของผู้ประกอบธุรกิจ </t>
  </si>
  <si>
    <t xml:space="preserve">1. สอบทาน “รายงานผลการทดสอบและทบทวนแผนการบริหารจัดการเหตุการณ์ผิดปกติ” เพื่อให้มั่นใจว่า มีการรายงานผลการทดสอบและทบทวนแผนต่อคณะกรรมการของผู้ประกอบธุรกิจ หรือคณะกรรมการที่ได้รับมอบหมาย
</t>
  </si>
  <si>
    <t>D2.11 #16</t>
  </si>
  <si>
    <t>11.6 #1(4)</t>
  </si>
  <si>
    <t>มีการรายงานผลการทดสอบและทบทวนแผนการบริหารจัดการเหตุการณ์ผิดปกติต่อคณะกรรมการของผู้ประกอบธุรกิจ</t>
  </si>
  <si>
    <t>1. สอบทาน “รายงานผลการทดสอบและทบทวนแผนการบริหารจัดการเหตุการณ์ผิดปกติ” เพื่อให้มั่นใจว่า มีการรายงานผลการทดสอบและทบทวนแผนต่อคณะกรรมการของผู้ประกอบธุรกิจ</t>
  </si>
  <si>
    <t>ส่วนที่ 12 แผนฉุกเฉินด้าน IT (IT contingency plan)</t>
  </si>
  <si>
    <t>D2.12 #1</t>
  </si>
  <si>
    <t>12.1 #1</t>
  </si>
  <si>
    <t>จัดให้มีคณะทำงานหรือหน่วยงานที่รับผิดชอบในการจัดทำแผนฉุกเฉินด้าน IT อย่างเป็นลายลักษณ์อักษร โดยมีผู้บริหารและบุคลากรของหน่วยงานด้านต่าง ๆ ที่เกี่ยวข้องเข้าร่วมด้วย</t>
  </si>
  <si>
    <t>1. สัมภาษณ์ ผู้บริหารด้านความเสี่ยง เกี่ยวกับการกำหนดคณะทำงานหรือหน่วยงานที่รับผิดชอบในการจัดทำแผนฉุกเฉินด้าน IT 
2. สอบทาน "แผนฉุกเฉินด้าน IT" หรือ "เอกสารแต่งตั้งคณะทำงานหรือหน่วยงานที่รับผิดชอบในการจัดทำแผนฉุกเฉินด้าน IT" เพื่อให้มั่นใจว่า 
    (1) มีการกำหนดคณะทำงานหรือหน่วยงานที่รับผิดชอบในการจัดทำแผนฉุกเฉินด้าน IT โดยในคณะทำงานหรือหน่วยงานมีผู้บริหารและบุคลากรของหน่วยงานด้านต่าง ๆ ที่เกี่ยวข้องเข้าร่วมด้วย
    (2) มีการระบุรายชื่อผู้รับผิดชอบการปฏิบัติงาน รวมทั้ง รายละเอียดหน้าที่และความรับผิดชอบ ในขั้นตอนต่าง ๆ อย่างครบถ้วน รวมทั้งมีข้อมูลของผู้ที่เกี่ยวข้องกับการดำเนินการ และ ผู้รับผิดชอบในการติดต่อสื่อสาร</t>
  </si>
  <si>
    <t>D2.12 #2</t>
  </si>
  <si>
    <t>12.2.1</t>
  </si>
  <si>
    <t>12.2.1 #1</t>
  </si>
  <si>
    <t xml:space="preserve">มีการประเมินความเสี่ยง (risk analysis) เพื่อให้สามารถระบุเหตุการณ์ความเสี่ยงที่อาจทำให้กระบวนการและระบบ IT หยุดชะงัก ไม่สามารถให้บริการได้ตามปกติ หรือไม่สามารถดำเนินธุรกิจอย่างต่อเนื่อง โดยมีแนวทางการดำเนินงานครบถ้วนตามข้อกำหนด </t>
  </si>
  <si>
    <t>1. สัมภาษณ์ ผู้บริหารด้านความเสี่ยง หรือ คณะทำงานแผนฉุกเฉินด้าน IT หรือ ผู้บริหารด้าน IT  เกี่ยวกับการประเมินความเสี่ยง (risk analysis) เพื่อให้สามารถระบุเหตุการณ์ความเสี่ยงที่อาจทำให้กระบวนการและระบบ IT หยุดชะงัก ไม่สามารถให้บริการได้ตามปกติ หรือไม่สามารถดำเนินธุรกิจอย่างต่อเนื่อง 
2. สอบทาน "นโยบายที่เกี่ยวข้องกับการบริหารความต่อเนื่องทางธุรกิจ" และ "เอกสารการประเมินความเสี่ยง" เพื่อให้มั่นใจว่าบริษัทกำหนดให้มี 
    (1) การระบุเหตุการณ์ความเสี่ยง (risk scenarios) ที่อาจทำให้กระบวนการและระบบ IT หยุดชะงัก ทั้งจากภายในและภายนอก เช่น การโจมตีด้านไซเบอร์ ไฟไหม้ เป็นต้น
    (2) การประเมินความเสี่ยงโดยพิจารณาผลกระทบและโอกาสที่จะเกิดขึ้น รวมถึงการควบคุมที่มีอยู่
    (3) จัดให้มีกระบวนการและทรัพยากรที่จำเป็นในการควบคุมความเสี่ยงให้อยู่ในระดับที่ยอมรับได้
(M4) 3. สอบทานหลักฐาน "การสอบทานการระบุเหตุการณ์และการประเมินความเสี่ยง" เพื่อให้มั่นใจว่ามีการทบทวนเหตุการณ์ความเสี่ยงที่ส่งผลกระทบต่อการดำเนินธุรกิจให้เหมาะสมกับบริบทขององค์กรอย่างสม่ำเสมอ พร้อมทั้งมีการทบทวนผลการประเมินความเสี่ยงและการควบคุมความเสี่ยง 
(M5) 4. สอบทาน "หลักฐานการติดตามเชิงรุกต่อการเปลี่ยนแปลงด้านความเสี่ยง IT และการเปลี่ยนแปลงการดำเนินธุรกิจ" เช่น เอกสารที่แสดงให้เห็นว่าบริษัทได้มีการนำปัจจัยการเปลี่ยนแปลงของเหตุการณ์ความเสี่ยงที่คาดว่าจะเกิดขึ้น หรือกรณีผู้ประกอบธุรกิจมีแผนการขยายธุรกิจมาพิจารณาถึงผลกระทบต่อการปรับปรุงเหตุการณ์ความเสี่ยง การประเมินความเสี่ยง และการควบคุมความเสี่ยงเพื่อให้มั่นใจว่า บริษัทมีการปรับปรุงการระบุเหตุการณ์ความเสี่ยง การประเมินความเสี่ยง การควบคุมความเสี่ยงให้เป็นปัจจุบันอย่างทันท่วงที</t>
  </si>
  <si>
    <t>ไม่มีการประเมินความเสี่ยง (risk analysis) เพื่อระบุเหตุการณ์ความเสี่ยงต่าง ๆ</t>
  </si>
  <si>
    <t>มีการประเมินความเสี่ยง (risk analysis) แต่ไม่ครอบคลุมเหตุการณ์ความเสี่ยงที่สำคัญ หรือไม่มีการจัดเตรียมกระบวนการและทรัพยากรที่จำเป็นในการควบคุมความเสี่ยง</t>
  </si>
  <si>
    <t>มีการประเมินความเสี่ยง (risk analysis) ที่ครอบคลุมเหตุการณ์ความเสี่ยงที่สำคัญ และจัดเตรียมกระบวนการและทรัพยากรที่จำเป็นในการควบคุมความเสี่ยง</t>
  </si>
  <si>
    <t>มีการจัดทำตาม Maturity Level 3 รวมถึงมีการสอบทานการระบุเหตุการณ์ การประเมินความเสี่ยง และการควบคุมความเสี่ยงสม่ำเสมอ</t>
  </si>
  <si>
    <t>มีการจัดทำตาม Maturity Level 4 รวมถึงมีการติดตามเชิงรุกต่อการเปลี่ยนแปลงด้านความเสี่ยง IT และการเปลี่ยนแปลงการดำเนินธุรกิจเพื่อนำไปพัฒนาปรับปรุงการระบุเหตุการณ์ความเสี่ยง การประเมินความเสี่ยง การควบคุมความเสี่ยงให้เป็นปัจจุบันอย่างทันท่วงที</t>
  </si>
  <si>
    <t>D2.12 #3</t>
  </si>
  <si>
    <t>12.2.2</t>
  </si>
  <si>
    <t>12.2.2 #1(1)</t>
  </si>
  <si>
    <t>มีการระบุรายการกระบวนการทางธุรกิจ (business process) และระบบ IT ที่กระบวนการทางธุรกิจพึ่งพา</t>
  </si>
  <si>
    <t>1. สัมภาษณ์ ผู้บริหารด้านความเสี่ยง หรือ คณะทำงานแผนฉุกเฉินด้าน IT เกี่ยวกับการระบุและสื่อสารกระบวนการทางธุรกิจ (business process) เพื่อใช้ในการวิเคราะห์ผลกระทบทางธุรกิจ (business impact analysis)
2. สอบทาน "นโยบายที่เกี่ยวข้องกับบริหารความต่อเนื่องทางธุรกิจ" เพื่อให้มั่นใจว่านโยบายฯ กำหนดให้มีการระบุกระบวนการทางธุรกิจ (business process) และระบบ IT ที่ใช้สนับสนุนกระบวนการทางธุรกิจดังกล่าว
3. สอบทาน “เอกสารการวิเคราะห์ผลกระทบทางธุรกิจ (business impact analysis)” เพื่อให้มั่นใจว่าครอบคลุมกระบวนการทางธุรกิจ (business process) ที่สำคัญขององค์กร และมีการระบุระบบ IT ที่ใช้ในการดำเนินกระบวนการทางธุรกิจ</t>
  </si>
  <si>
    <t>D2.12 #4</t>
  </si>
  <si>
    <t>12.2.2 #1(2)</t>
  </si>
  <si>
    <t xml:space="preserve">มีการวิเคราะห์ผลกระทบที่เกิดจากการหยุดชะงักของระบบ IT เพื่อกำหนดระยะเวลา RTO, RPO และ MTD โดยมีระยะเวลา RTO สอดคล้องตามข้อกำหนด  ดังนี้
    (1) RTO ไม่ควรเกิน 2 ชั่วโมง สำหรับระบบ IT ที่สนับสนุนกระบวนการทางธุรกิจที่สำคัญของหน่วยงานโครงสร้างพื้นฐานที่สำคัญทางสารสนเทศ (critical information infrastructure organization หรือ CII organization)
    (2) RTO ไม่ควรเกิน 4 ชั่วโมง สำหรับระบบ IT ที่สนับสนุนกระบวนการทางธุรกิจที่สำคัญของหน่วยงานอื่น ๆ 
ทั้งนี้ กรณีที่ไม่สามารถจัดให้มีระบบ IT ที่รองรับ RTO ที่กำหนดข้างต้น ต้องจัดให้มีวิธีการให้บริการแบบ manual ทดแทนได้ โดยวิธีการดังกล่าวต้องไม่ส่งผลต่อประสิทธิภาพการให้บริการอย่างมีนัยสำคัญ </t>
  </si>
  <si>
    <t xml:space="preserve">1. สัมภาษณ์ ผู้บริหารด้านความเสี่ยง หรือ คณะทำงานแผนฉุกเฉินด้าน IT เกี่ยวกับ การวิเคราะห์ผลกระทบที่เกิดจากการหยุดชะงักของระบบ IT เพื่อกำหนดค่าที่เกี่ยวข้องกับการบริหารความต่อเนื่องทางธุรกิจด้าน IT ได้แก่ RTO, RPO, MTD
2. สอบทาน "นโยบายที่เกี่ยวข้องกับบริหารความต่อเนื่องทางธุรกิจ" เพื่อให้มั่นใจว่า นโยบายฯ กำหนดให้มีการระบุ recovery time objective (RTO), recovery point objective (RPO) และ maximum tolerable downtime (MTD) ที่มีความเป็นปัจจุบัน
3. สอบทาน "เอกสารการวิเคราะห์ผลกระทบทางธุรกิจ (business impact analysis)" เพื่อให้มั่นใจว่า 
    (1) มีการวิเคราะห์ผลกระทบที่เกิดจากการหยุดชะงักของระบบ IT 
    (2) มีการกำหนดระยะเวลา RTO, RPO และ MTD ที่สอดคล้องตามผลการวิเคราะห์ผลกระทบที่เกิดจากการหยุดชะงักของระบบ IT 
    (3) มีการกำหนดค่า RTO สอดคล้องตามข้อกำหนด ดังนี้
       (ก) RTO ไม่ควรเกิน 2 ชั่วโมง สำหรับระบบ IT ที่สนับสนุนกระบวนการทางธุรกิจที่สำคัญของหน่วยงานโครงสร้างพื้นฐานที่สำคัญทางสารสนเทศ (critical information infrastructure organization หรือ CII organization)
       (ข) RTO ไม่ควรเกิน 4 ชั่วโมง สำหรับระบบ IT ที่สนับสนุนกระบวนการทางธุรกิจที่สำคัญของผู้ประกอบธุรกิจอื่น ๆ 
4. สอบทานวิธีการให้บริการแบบ manaul process (ถ้ามี) เพื่อทดแทนกรณีที่ไม่สามารถกำหนด RTO ของระบบ IT ได้ตามที่กำหนดข้างต้น โดยวิธีการดังกล่าวต้องไม่ส่งผลต่อประสิทธิภาพการให้บริการอย่างมีนัยสำคัญ
5. สอบทาน "แผนฉุกเฉินด้าน IT" เพื่อให้มั่นใจว่า มีการกำหนดระยะเวลา RTO, RPO และ MTD สอดคล้องกับ เอกสารการวิเคราะห์ผลกระทบทางธุรกิจ (business impact analysis)
</t>
  </si>
  <si>
    <t>D2.12 #5</t>
  </si>
  <si>
    <t>12.2.2 #1(3)</t>
  </si>
  <si>
    <t>มีการระบุระบบ IT และทรัพยากรที่จำเป็นต่อกระบวนทางธุรกิจที่สำคัญ (ฮาร์ดแวร์ ซอฟต์แวร์ ข้อมูล และทรัพยากรอื่น ๆ) พร้อมทั้งรายละเอียดคุณสมบัติ (specification) ขั้นต่ำของระบบ IT และทรัพยากรดังกล่าว</t>
  </si>
  <si>
    <t>1. สัมภาษณ์ ผู้บริหารหน่วยงานบริการความเสี่ยง หรือ คณะทำงานแผนฉุกเฉินด้าน IT หรือ ผู้บริหารหน่วยงาน IT  เกี่ยวกับการการระบุระบบ IT และทรัพยากรที่จำเป็นต่อกระบวนทางธุรกิจที่สำคัญ (ฮาร์ดแวร์ ซอฟต์แวร์ ข้อมูล และทรัพยากรอื่น ๆ) พร้อมทั้งรายละเอียดคุณสมบัติ (specification) ขั้นต่ำของระบบ IT และทรัพยากรดังกล่าว
2. สอบทาน "นโยบายที่เกี่ยวข้องกับบริหารความต่อเนื่องทางธุรกิจ" เพื่อให้มั่นใจว่ามีการกำหนดขั้นตอน กระบวนการดำเนินการ และการควบคุม ที่ครอบคลุมถึงการระบุระบบ IT และทรัพยากรที่จำเป็นต่อกระบวนทางธุรกิจที่สำคัญ (ฮาร์ดแวร์ ซอฟต์แวร์ ข้อมูล และทรัพยากรอื่น ๆ) พร้อมทั้งรายละเอียดคุณสมบัติ (specification) ขั้นต่ำของระบบ IT และทรัพยากรดังกล่าว
3. สอบทาน "แผนฉุกเฉินด้าน IT" เพื่อให้มั่นใจว่ามีว่า มีการกำหนดรายละเอียดของอุปกรณ์ที่จำเป็นต้องใช้ในกรณีฉุกเฉินของแต่ละระบบงาน เช่น รุ่นของเครื่องคอมพิวเตอร์ คุณลักษณะของเครื่องคอมพิวเตอร์ (specification) ขั้นต่ำ ข้อมูลเกี่ยวกับการปรับแต่ง (configuration) และอุปกรณ์เครือข่ายคอมพิวเตอร์ เป็นต้น
(M4) 4. สอบทานหลักฐาน "การสอบทานระบบ IT และทรัพยากรที่จำเป็นต่อกระบวนทางธุรกิจที่สำคัญ" เพื่อให้มั่นใจว่าคณะทำงานได้มีการสอบทานระบบ IT และทรัพยากรที่จำเป็นต่อกระบวนทางธุรกิจที่สำคัญให้มีข้อมูลครบถ้วน เป็นปัจจุบัน และสอดคล้องกับผลการวิเคราะห์ผลกระทบทางธุรกิจ (business impact analysis)
(M5) 5. สอบทาน "หลักฐานการติดตามเชิงรุกต่อการเปลี่ยนแปลงด้านความเสี่ยง IT และการเปลี่ยนแปลงการดำเนินธุรกิจ" เช่น เอกสารที่แสดงให้เห็นว่าบริษัทได้มีการนำปัจจัยการเปลี่ยนแปลงของเหตุการณ์ความเสี่ยงที่คาดว่าจะเกิดขึ้น ระบบงานที่คาดว่าจะนำมาใช้ กระบวนการทางธุรกิจที่เปลี่ยนแปลงไป หรือผลจากการทดสอบแผนฉุกเฉินด้าน IT มาพิจารณาถึงผลกระทบต่อระบุระบบ IT และทรัพยากรที่จำเป็นต่อกระบวนทางธุรกิจที่สำคัญ (ฮาร์ดแวร์ ซอฟต์แวร์ ข้อมูล และทรัพยากรอื่น ๆ) พร้อมทั้งรายละเอียดคุณสมบัติ (specification) ขั้นต่ำของระบบ IT และทรัพยากรดังกล่าว เพื่อให้มั่นใจว่า บริษัทมีการติดตามเชิงรุกต่อการเปลี่ยนแปลง เพื่อนำไปพัฒนาปรับปรุงการกำหนดทรัพยากรให้เหมาะสม เป็นปัจจุบัน และสอดคล้องกับผลการวิเคราะห์ผลกระทบทางธุรกิจ (business impact analysis) อย่างทันท่วงที</t>
  </si>
  <si>
    <t>ไม่มีการกำหนดหรือระบุระบบ IT และทรัพยากรที่จำเป็นต่อกระบวนทางธุรกิจที่สำคัญ</t>
  </si>
  <si>
    <t>มีการกำหนดหรือระบุระบบ IT และทรัพยากรที่จำเป็นต่อกระบวนทางธุรกิจที่สำคัญ แต่ไม่ครบถ้วน หรือไม่สอดคล้องกับผลการจัดทำการวิเคราะห์ผลกระทบทางธุรกิจ (business impact analysis)</t>
  </si>
  <si>
    <t xml:space="preserve">มีการกำหนดหรือระบุระบบ IT และทรัพยากรที่จำเป็นต่อกระบวนทางธุรกิจที่สำคัญ ครบถ้วน สอดคล้องกับผลการจัดทำการวิเคราะห์ผลกระทบทางธุรกิจ (business impact analysis) </t>
  </si>
  <si>
    <t>มีการจัดทำตาม Maturity Level 3 รวมถึงมีการสอบทานระบบ IT และทรัพยากรที่จำเป็นต่อกระบวนทางธุรกิจที่สำคัญ เพื่อให้มั่นใจว่ามีข้อมูลครบถ้วน เป็นปัจจุบัน และสอดคล้องกับผลการจัดทำการวิเคราะห์ผลกระทบทางธุรกิจ (business impact analysis) อย่างสม่ำเสมอ</t>
  </si>
  <si>
    <t>มีการจัดทำตาม Maturity Level 4 รวมถึงมีการติดตามเชิงรุกต่อการเปลี่ยนแปลงด้านความเสี่ยง IT และการเปลี่ยนแปลงการดำเนินธุรกิจหรือนำผลจากการทดสอบแผนฉุกเฉินด้าน IT เพื่อนำไปพัฒนาปรับปรุงการกำหนดทรัพยากรให้เหมาะสม เป็นปัจจุบัน และสอดคล้องกับผลการจัดทำการวิเคราะห์ผลกระทบทางธุรกิจ (business impact analysis) อย่างทันท่วงที</t>
  </si>
  <si>
    <t>D2.12 #6</t>
  </si>
  <si>
    <t>12.2.2 #1(4)</t>
  </si>
  <si>
    <t>มีการจัดลำดับความสำคัญของระบบ IT เพื่อให้ระบบ IT ที่สนับสนุนกระบวนการทางธุรกิจที่สำคัญสูงได้รับการกู้คืนเป็นลำดับแรก</t>
  </si>
  <si>
    <t>1. สัมภาษณ์ ผู้บริหารหน่วยงานบริการความเสี่ยง หรือ คณะทำงานแผนฉุกเฉินด้าน IT หรือ ผู้บริหารหน่วยงาน IT เกี่ยวกับการจัดลำดับความสำคัญของระบบ IT ที่ใช้สนับสนุนกระบวนทางธุรกิจ
2. สอบทาน "นโยบายที่เกี่ยวข้องกับบริหารความต่อเนื่องทางธุรกิจ" เพื่อให้มั่นใจว่า นโยบายฯ กำหนดให้มีการจัดลำดับการกู้คืนระบบงาน IT ที่มีความสำคัญให้สอดคล้องกับผลกระทบที่อาจเกิดขึ้น โดยเฉพาะระบบ IT ที่สนับสนุนกระบวนการทางธุรกิจที่สำคัญสูงควรได้รับการกู้คืนเป็นลำดับแรก
3. สอบทาน "เอกสารการวิเคราะห์ผลกระทบทางธุรกิจ (business impact analysis)" เพื่อให้มั่นใจว่า มีการจัดลำดับความสำคัญของระบบงาน IT ที่สนับสนุนกระบวนการทางธุรกิจที่สำคัญสูงได้รับการกู้คืนเป็นลำดับแรก
4. สอบทาน "แผนฉุกเฉินด้าน IT" เพื่อให้มั่นใจว่า มีการจัดลำดับความสำคัญของระบบงาน IT  สอดคล้องกับ เอกสารการวิเคราะห์ผลกระทบทางธุรกิจ (business impact analysis)
(M4) 5. สอบทานหลักฐาน "การสอบทานลำดับความสำคัญของระบบ IT" เพื่อให้มั่นใจว่าคณะทำงานได้มีการสอบทานและปรับปรุงการจัดลำดับความสำคัญของระบบงาน IT  สอดคล้องกับ เอกสารการวิเคราะห์ผลกระทบทางธุรกิจ (business impact analysis) อย่างสม่ำเสมอ
(M5) 6. สอบทาน "หลักฐานการติดตามเชิงรุกต่อการเปลี่ยนแปลงด้านความเสี่ยง IT และการเปลี่ยนแปลงการดำเนินธุรกิจ" เช่น เอกสารที่แสดงให้เห็นว่าบริษัทได้มีการนำปัจจัยการเปลี่ยนแปลงของเหตุการณ์ความเสี่ยงที่คาดว่าจะเกิดขึ้น ระบบงานที่คาดว่าจะนำมาใช้ การเปลี่ยนแปลงของกระบวนการธุรกิจ หรือผลจากการทดสอบ แผนฉุกเฉินด้าน IT มาพิจารณาถึงการจัดลำดับความสำคัญของระบบ IT เพื่อให้มั่นใจว่า บริษัทมีการติดตามเชิงรุกต่อการเปลี่ยนแปลงดังกล่าว เพื่อนำไปพัฒนาปรับปรุงการ เพื่อให้การจัดลำดับความสำคัญของระบบ IT ที่สนับสนุนกระบวนการทางธุรกิจที่สำคัญสูงได้รับการกู้คืนเป็นลำดับแรกเป็นไปอย่างเหมาะสม เป็นปัจจุบัน สอดคล้องกับการจัดทำเอกสารการวิเคราะห์ผลกระทบทางธุรกิจ (business impact analysis) อย่างทันท่วงที</t>
  </si>
  <si>
    <t>ไม่มีการจัดลำดับความสำคัญของระบบ IT เพื่อให้ระบบ IT ที่สนับสนุนกระบวนการทางธุรกิจที่สำคัญสูงได้รับการกู้คืนเป็นลำดับแรก</t>
  </si>
  <si>
    <t>มีการจัดลำดับความสำคัญของระบบ IT แต่ไม่สอดคล้องกับผลการทำการวิเคราะห์ผลกระทบทางธุรกิจ (business impact analysis) ส่งผลให้ระบบ IT ที่สนับสนุนกระบวนการทางธุรกิจที่สำคัญสูงไม่ได้รับการกู้คืนเป็นลำดับแรก</t>
  </si>
  <si>
    <t>มีการจัดลำดับความสำคัญของระบบ IT สอดคล้องกับผลการทำการวิเคราะห์ผลกระทบทางธุรกิจ (business impact analysis) โดยใช้ผลการจัดลำดับความสำคัญในการจัดทำแผนฉุกเฉินด้าน IT</t>
  </si>
  <si>
    <t>มีการจัดทำตาม Maturity Level 3 รวมถึงมีการสอบทานลำดับความสำคัญของระบบ IT เพื่อให้มั่นใจว่าการจัดลำดับความสำคัญของระบบงาน IT  สอดคล้องกับผลการจัดทำการวิเคราะห์ผลกระทบทางธุรกิจ (business impact analysis) อย่างสม่ำเสมอ</t>
  </si>
  <si>
    <t>มีการจัดทำตาม Maturity Level 4 รวมถึงมีการติดตามเชิงรุกต่อการเปลี่ยนแปลงด้านความเสี่ยง IT และการเปลี่ยนแปลงการดำเนินธุรกิจหรือนำผลจากการทดสอบแผนฉุกเฉินด้าน IT เพื่อนำไปพัฒนาปรับปรุงการจัดลำดับความสำคัญของระบบ IT ที่สนับสนุนกระบวนการทางธุรกิจที่สำคัญสูงได้รับการกู้คืนเป็นลำดับแรกเป็นไปอย่างเหมาะสม เป็นปัจจุบัน สอดคล้องกับการทำการวิเคราะห์ผลกระทบทางธุรกิจ (business impact analysis) อย่างทันท่วงที</t>
  </si>
  <si>
    <t>D2.12 #7</t>
  </si>
  <si>
    <t>12.2.3</t>
  </si>
  <si>
    <t>12.2.3 #1</t>
  </si>
  <si>
    <t xml:space="preserve">มีการจัดทำแผนฉุกเฉินด้าน IT อย่างเป็น ลายลักษณ์อักษร และได้รับความเห็นชอบจากคณะกรรมการของผู้ประกอบธุรกิจหรือคณะกรรมการที่ได้รับมอบหมายจากคณะกรรมการของผู้ประกอบธุรกิจ </t>
  </si>
  <si>
    <t>1. สอบทาน "แผนฉุกเฉินด้าน IT" เพื่อให้มั่นใจว่า
   (1) มีรายละเอียดของกระบวนการหรือขั้นตอนการปฏิบัติงานที่ชัดเจน เพื่อให้สามารถดำเนินการได้อย่างรวดเร็วและง่ายต่อการปฏิบัติ โดยมีเนื้อหาครอบคลุมรายละเอียดอย่างน้อย ดังนี้
        (ก) หน้าที่ และความรับผิดชอบของผู้บริหารระดับสูง และผู้ที่เกี่ยวข้องในการดำเนินการตามแผน
        (ข) รายละเอียดของระบบ IT เช่น โครงสร้างสถาปัตยกรรม แผนภาพแสดงระบบเครือข่ายสื่อสาร เป็นต้น
        (ค) เงื่อนไขและขั้นตอนในการประกาศใช้แผนฉุกเฉินด้าน IT การตอบสนองต่อเหตุการณ์ฉุกเฉิน และแผนการสื่อสารให้ผู้ที่เกี่ยวข้องรับทราบ
        (ง) ขั้นตอนการกู้คืนระบบและข้อมูล โดยมีรายละเอียดที่ชัดเจนและเพียงพอที่ผู้ปฏิบัติงานสามารถใช้เป็นขั้นตอนปฏิบัติได้อย่างถูกต้อง และเป็นไปตามเป้าหมายเวลาที่กำหนดไว้ โดยอาจจัดทำในรูปแบบรายการตรวจสอบขั้นตอนปฏิบัติ (checklist)
        (จ) วิธีการตรวจสอบความถูกต้องครบถ้วนของระบบ IT และข้อมูลที่กู้คืน ก่อนกลับสู่การดำเนินกระบวนการทางธุรกิจอย่างปกติ (return to normal)
        (ฉ) ขั้นตอนการประกาศยกเลิกแผนฉุกเฉินด้าน IT
        (ช) การจัดเก็บแผนฉุกเฉินด้าน IT ไว้ในสถานที่ปลอดภัยและมีความพร้อมใช้งานในสถานที่ปฏิบัติงานหลักและสถานที่สำรอง
   (2) ได้รับความเห็นชอบจากคณะกรรมการของผู้ประกอบธุรกิจหรือคณะกรรมการที่ได้รับมอบหมายจากคณะกรรมการของผู้ประกอบธุรกิจ</t>
  </si>
  <si>
    <t>D2.12 #8</t>
  </si>
  <si>
    <t>12.2.3 #2</t>
  </si>
  <si>
    <t>มีการกำหนดบุคลากรและช่องทางการติดต่อ เพื่อใช้ในการสื่อสารกรณีเกิดภาวะวิกฤตหรือมีเหตุจำเป็นเร่งด่วน</t>
  </si>
  <si>
    <t>1. สอบทาน "แผนฉุกเฉินด้าน IT" หรือ "แผนผังการติดต่อพนักงาน (call tree)" เพื่อให้มั่นใจว่า
    (1) มีการระบุบุคลากรหลักและสำรองที่รับผิดชอบในการปฏิบัติตามแผนฉุกเฉินด้าน IT 
    (2) มีการระบุช่องทางในการติดต่อ เช่น หมายเลขโทรศัพท์ หรือ อีเมล ที่สามารถติดต่อได้
    (3) มีการจัดทำเป็นแผนผังและลำดับการติดต่อ
    (4) มีการปรับปรุงรายชื่อและช่องทางการติดต่อให้เป็นปัจจุบัน</t>
  </si>
  <si>
    <t>D2.12 #9</t>
  </si>
  <si>
    <t>12.2.3 #3</t>
  </si>
  <si>
    <t>มีการพิจารณาและอนุมัติแผนฉุกเฉินด้าน IT โดยคณะกรรมการของผู้ประกอบธุรกิจ</t>
  </si>
  <si>
    <t>1. สอบทานแผนฉุกเฉินด้าน IT เพื่อให้มั่นใจว่าแผนฉุกเฉินได้รับความเห็นชอบจากคณะกรรมการของผู้ประกอบธุรกิจ ทั้งนี้ แผนฉุกเฉินด้าน IT อาจเป็นส่วนหนึ่งของแผน BCP ที่ได้รับการอนุมัติจากคณะกรรมการของผู้ประกอบธุรกิจ</t>
  </si>
  <si>
    <t>D2.12 #10</t>
  </si>
  <si>
    <t>12.3 #1</t>
  </si>
  <si>
    <t xml:space="preserve">มีการสำรองระบบ IT  และทรัพยากรที่จำเป็นเพื่อให้สามารถกู้คืนระบบ IT ได้ตามระยะเวลาเป้าหมายที่กำหนดไว้ ในกรณีที่มีศูนย์คอมพิวเตอร์สำรอง ควรระบุรายละเอียดเกี่ยวกับศูนย์คอมพิวเตอร์สำรองให้ชัดเจน เช่น ทรัพยากรที่มี สถานที่ตั้งและแผนที่ เป็นต้น </t>
  </si>
  <si>
    <t>1. สัมภาษณ์ ผู้บริหารด้าน IT  เกี่ยวกับการจัดให้มีระบบ IT สำรองและทรัพยากรที่จำเป็น เพื่อให้สามารถกู้คืนระบบได้ตามระยะเวลาเป้าหมายที่กำหนดไว้ 
2. สอบทาน "การสำรองระบบ IT และทรัพยากรที่จำเป็น" เทียบกับ "แผนฉุกเฉินด้าน IT" เพื่อให้มั่นใจว่ามีระบบ IT สำรอง และทรัพยากรที่จำเป็นเพียงพอ เพื่อให้สามารถกู้คืนระบบ IT ได้ตามระยะเวลาเป้าหมาย ที่กำหนดไว้ รวมทั้งมีการปรับปรุงให้เป็นปัจจุบันอย่างสม่ำเสมอ นอกจากนี้ในกรณีที่มีศูนย์คอมพิวเตอร์สำรอง ควรระบุรายละเอียดเกี่ยวกับศูนย์คอมพิวเตอร์สำรองให้ชัดเจน เช่น ทรัพยากรที่มี สถานที่ตั้งและแผนที่ เป็นต้น</t>
  </si>
  <si>
    <t>D2.12 #11</t>
  </si>
  <si>
    <t>12.4 #1</t>
  </si>
  <si>
    <t>มีการสื่อสารแผนฉุกเฉินด้าน IT ให้พนักงานทุกคนที่มีส่วนเกี่ยวข้องกับการปฏิบัติตามแผนฉุกเฉินด้าน IT มีความเข้าใจ และสามารถปฏิบัติตามแผนได้อย่างถูกต้อง</t>
  </si>
  <si>
    <t>1. สัมภาษณ์ ผู้บริหารด้านความเสี่ยง หรือ คณะทำงานแผนฉุกเฉินด้าน IT เกี่ยวกับการสื่อสารแผนฉุกเฉินด้าน IT ให้พนักงานทุกคนที่มีส่วนเกี่ยวข้องกับการปฏิบัติตามแผนฉุกเฉินด้าน IT มีความเข้าใจ และสามารถปฏิบัติตามแผนได้อย่างถูกต้อง
2. สอบทาน "นโยบายที่เกี่ยวข้องกับบริหารความต่อเนื่องทางธุรกิจ" เพื่อให้มั่นใจว่ามีการกำหนดให้มีการสื่อสารแผนฉุกเฉินด้าน IT ให้พนักงานทุกคนที่มีส่วนเกี่ยวข้องกับการปฏิบัติตามแผนฉุกเฉินด้าน IT มีความเข้าใจ และสามารถปฏิบัติตามแผนได้อย่างถูกต้อง
3. สอบทาน "เอกสารประชาสัมพันธ์หรือสื่อสาร เกี่ยวกับ แผนฉุกเฉินด้าน IT" เพื่อให้มั่นใจว่ามีการสื่อสารแผนฉุกเฉินด้าน IT แก่พนักงานทุกคนที่มีส่วนเกี่ยวข้อง
(M4) 4. สอบทาน "การอบรมแผนฉุกเฉินด้าน IT" เพื่อให้มั่นใจว่า พนักงานทุกคนที่มีส่วนเกี่ยวข้องกับการปฏิบัติตามแผนฉุกเฉินด้าน IT เข้าร่วมการอบรมสร้างความรู้ ความเข้าใจในการปฏิบัติตามแผนอย่างครบถ้วน
(M5) 5. สอบทาน “เอกสารวัดความรู้ด้านแผนฉุกเฉินด้าน IT" เพื่อให้มั่นใจได้ว่าพนักงานทุกคนที่เกี่ยวข้องกับการปฏิบัติตามแผนฉุกเฉินด้าน IT มีความรู้ ความเข้าใจและสามารถปฏิบัติตามแผนได้อย่างถูกต้อง</t>
  </si>
  <si>
    <t>ไม่มีการสื่อสารแผนฉุกเฉินด้าน IT ให้พนักงานทุกคนที่มีส่วนเกี่ยวข้องกับการปฏิบัติตามแผนฉุกเฉินด้าน IT</t>
  </si>
  <si>
    <t>มีการสื่อสารแผนฉุกเฉินด้าน IT ไม่ครอบคลุมพนักงานทุกคนที่มีส่วนเกี่ยวข้องกับการปฏิบัติตามแผนฉุกเฉินด้าน IT</t>
  </si>
  <si>
    <t>มีการสื่อสารแผนฉุกเฉินด้าน IT ให้พนักงานทุกคนที่มีส่วนเกี่ยวข้องกับการปฏิบัติตามแผนฉุกเฉินด้าน IT</t>
  </si>
  <si>
    <t>มีการจัดทำตาม Maturity Level 3 รวมถึงมีการติดตามให้พนักงานทุกคนที่มีส่วนเกี่ยวข้องกับการปฏิบัติตามแผนฉุกเฉินด้าน IT เข้าร่วมการอบรมครบถ้วน</t>
  </si>
  <si>
    <t>มีการจัดทำตาม Maturity Level 4 รวมถึงมีการประเมินความรู้ด้านแผนฉุกเฉินด้าน IT เพื่อให้มั่นใจได้ว่าพนักงานที่เกี่ยวข้องมีความรู้ ความเข้าใจและสามารถปฏิบัติตามแผนได้อย่างถูกต้อง</t>
  </si>
  <si>
    <t>D2.12 #12</t>
  </si>
  <si>
    <t>12.5 #1</t>
  </si>
  <si>
    <t>มีการทบทวน (review) และทดสอบ (test) การปฏิบัติตามแผนฉุกเฉินด้าน IT อย่างน้อยปีละ 1 ครั้ง และเมื่อมีเหตุจำเป็นที่ควรได้รับการทบทวนและทดสอบดังกล่าว เช่น มีการเปลี่ยนแปลงกลยุทธ์ทางธุรกิจ นโยบายการบริหารความเสี่ยงโดยรวม สภาพแวดล้อมของการให้บริการหรือดำเนินธุรกิจ ทรัพยากร หรือโครงสร้างระบบ IT เป็นต้น</t>
  </si>
  <si>
    <t>1. สัมภาษณ์ ผู้บริหารด้านความเสี่ยง หรือ คณะทำงานแผนฉุกเฉินด้าน IT เกี่ยวกับ การการทบทวน (review) ปรับปรุง (improve) และทดสอบ (test) การปฏิบัติตามแผนฉุกเฉินด้าน IT 
2. สอบทาน "นโยบายที่เกี่ยวข้องกับบริหารความต่อเนื่องทางธุรกิจ" เพื่อให้มั่นใจว่า นโยบายฯ กำหนดให้มี การทบทวน (review) ปรับปรุง (improve) และทดสอบ (test) การปฏิบัติตามแผนฉุกเฉินด้าน IT อย่างน้อยปีละ 1 ครั้ง และเมื่อมีเหตุจำเป็นที่ควรได้รับการทบทวนและทดสอบดังกล่าว
3. สอบทาน "รายงานผลการทดสอบแผนฉุกเฉินด้าน IT" เพื่อให้มั่นใจว่ามีการทดสอบแผนฉุกเฉินด้าน IT อย่างน้อยปีละ 1 ครั้ง และเมื่อมีเหตุจำเป็นที่ควรได้รับการทบทวนและทดสอบดังกล่าว เช่น มีการเปลี่ยนแปลงกลยุทธ์ทางธุรกิจ นโยบายการบริหารความเสี่ยงโดยรวม สภาพแวดล้อมของการให้บริการหรือดำเนินธุรกิจ ทรัพยากร หรือโครงสร้างระบบ IT เป็นต้น</t>
  </si>
  <si>
    <t>D2.12 #13</t>
  </si>
  <si>
    <t>12.5 #2</t>
  </si>
  <si>
    <t>มีการกำหนดเหตุการณ์ที่ใช้ในการทดสอบประจำปี (test scenario) โดยเป็นเหตุการณ์ที่มีโอกาสที่จะเกิดขึ้นและอาจส่งผลกระทบให้กระบวนการทางธุรกิจที่สำคัญหยุดชะงัก เช่น การหยุดชะงักของระบบ IT ที่สนับสนุนกระบวนการทางธุรกิจที่สำคัญ การหยุดชะงักของผู้ให้บริการภายนอกที่สำคัญ (รวมถึงผู้ให้บริการคลาวด์) และการโจมตีทางไซเบอร์ เป็นต้น</t>
  </si>
  <si>
    <t>1. สัมภาษณ์ ผู้บริหารด้านความเสี่ยง หรือ คณะทำงานแผนฉุกเฉินด้าน IT เกี่ยวกับการกำหนดเหตุการณ์ที่ใช้ในการทดสอบประจำปี (test scenario) ในแผนฉุกเฉินด้าน IT
2. สอบทาน "รายงานประชุมคณะทำงานแผนฉุกเฉินทางด้าน IT" หรือ "เอกสารทดสอบแผนฉุกเฉินทางด้น IT" เพื่อให้มั่นใจว่า มีการกำหนดเหตุการณ์ที่ใช้ในการทดสอบประจำปี (test scenario) โดยเป็นเหตุการณ์ที่มีโอกาสที่จะเกิดขึ้นและอาจส่งผลกระทบให้กระบวนการทางธุรกิจที่สำคัญหยุดชะงัก เช่น การหยุดชะงักของระบบ IT ที่สนับสนุนกระบวนการทางธุรกิจ ที่สำคัญ การหยุดชะงักของผู้ให้บริการภายนอกที่สำคัญ (รวมถึงผู้ให้บริการคลาวด์) และการโจมตีทางไซเบอร์ เป็นต้น</t>
  </si>
  <si>
    <t>D2.12 #14</t>
  </si>
  <si>
    <t>12.5 #3</t>
  </si>
  <si>
    <t>มีการรายงานผลการทดสอบแผนฉุกเฉินด้าน IT ต่อคณะกรรมการของผู้ประกอบธุรกิจหรือคณะกรรมการที่ได้รับมอบหมายจากคณะกรรมการของผู้ประกอบธุรกิจ โดยมีรายละเอียดอย่างน้อยครอบคลุมวัตถุประสงค์ ขอบเขตการทดสอบสถานการณ์จำลอง ผลการทดสอบ ข้อผิดพลาดและปัญหาหรืออุปสรรคที่พบ พร้อมทั้งแนวทางปรับปรุงแก้ไข</t>
  </si>
  <si>
    <t>1. สัมภาษณ์ ผู้บริหารด้านความเสี่ยง หรือ คณะทำงานแผนฉุกเฉินด้าน IT เกี่ยวกับการรายงานผลการทดสอบแผนฉุกเฉินด้าน IT โดยคำนึงถึงประสิทธิผลและความเหมาะสมของแผนงานต่อคณะกรรมการของผู้ประกอบธุรกิจหรือคณะกรรมการที่ได้รับมอบหมายจากคณะกรรมการของผู้ประกอบธุรกิจ
2. สอบทาน "นโยบายที่เกี่ยวข้องกับบริหารความต่อเนื่องทางธุรกิจ" เพื่อให้มั่นใจว่า นโยบายฯ กำหนดให้มีการรายงานผลการทดสอบแผนฉุกเฉินด้าน IT โดยคำนึงถึงประสิทธิผลและความเหมาะสมของแผนงานต่อคณะกรรมการของผู้ประกอบธุรกิจหรือคณะกรรมการที่ได้รับมอบหมายจากคณะกรรมการของผู้ประกอบธุรกิจ 
3. สอบทาน "รายงานผลการทดสอบแผนฉุกเฉินด้าน IT" เพื่อให้มั่นใจว่า คณะทำงานได้มีการรายงานผลการทดสอบดังกล่าวไปยังคณะกรรมการบริษัท หรือคณะกรรมการที่ได้รับมอบหมายจากคณะกรรมการของผู้ประกอบธุรกิจ โดยมีรายละเอียดอย่างน้อยครอบคลุมวัตถุประสงค์ ขอบเขตการทดสอบ สถานการณ์จำลอง ผลการทดสอบ ข้อผิดพลาดและปัญหาหรืออุปสรรคที่พบ พร้อมทั้งแนวทางปรับปรุงแก้ไข
(M4) 4. สอบทานหลักฐาน "การติดตามผลการรายงานการทดสอบแผนฉุกเฉินด้าน IT" จากหน่วยงานที่เกี่ยวข้อง เพื่อให้มั่นใจว่าข้อผิดพลาด และปัญหาหรืออุปสรรคที่พบจากการทดสอบได้รับการติดตามแก้ไขอย่างครบถ้วน
(M5) 5. สอบทาน "หลักฐานการติดตามเชิงรุกจากข้อเสนอแนะจากการรายงานผล" เช่น เอกสารที่แสดงให้เห็นว่าบริษัทได้นำข้อเสนอะ หรือคำแนะนำของคณะกรรมการของผู้ประกอบธุรกิจหรือคณะกรรมการที่ได้รับมอบหมายจากคณะกรรมการของผู้ประกอบธุรกิจ ในการรายงานผลการทดสอบฉุกเฉินด้าน IT ไปปรับปรุงแผนฉุกเฉินด้าน IT หรือเอกสารอื่น ๆ ที่เกี่ยวข้องอย่างทันท่วงที</t>
  </si>
  <si>
    <t>ไม่มีการรายงานผลการทดสอบแผนฉุกเฉินด้าน IT ต่อคณะกรรมการของผู้ประกอบธุรกิจหรือคณะกรรมการที่ได้รับมอบหมายจากคณะกรรมการของผู้ประกอบธุรกิจ</t>
  </si>
  <si>
    <t>มีการรายงานผลการทดสอบแผนฉุกเฉินด้าน IT ต่อคณะกรรมการของผู้ประกอบธุรกิจหรือคณะกรรมการที่ได้รับมอบหมายจากคณะกรรมการของผู้ประกอบธุรกิจ แต่เนื้อหาหรือรายละเอียดรายงานไม่ครบถ้วนตามที่ได้ระบุไว้ในข้อกำหนด</t>
  </si>
  <si>
    <t>มีการรายงานผลการทดสอบแผนฉุกเฉินด้าน IT ต่อคณะกรรมการของผู้ประกอบธุรกิจหรือคณะกรรมการที่ได้รับมอบหมายจากคณะกรรมการของผู้ประกอบธุรกิจ โดยมีเนื้อหารายละเอียด ครบถ้วน ครอบคลุมตามที่ได้ระบุไว้ในข้อกำหนด</t>
  </si>
  <si>
    <t>มีการจัดทำตาม Maturity Level 3 รวมถึงมีการติดตามผลการรายงานการทดสอบแผนฉุกเฉินด้าน IT จากหน่วยงานที่เกี่ยวข้อง เพื่อให้มั่นใจว่าข้อผิดพลาด และปัญหาหรืออุปสรรคที่พบจากการทดสอบได้รับการติดตามแก้ไข</t>
  </si>
  <si>
    <t>มีการจัดทำตาม Maturity Level 4 รวมถึงมีการติดตามเชิงรุกจาก เช่น การนำข้อเสนอแนะจากการรายงานผล ไปปรับปรุงแผนฉุกเฉินด้าน IT หรือเอกสารอื่น ๆ ที่เกี่ยวข้อง อย่างทันท่วงที</t>
  </si>
  <si>
    <t>D2.12 #15</t>
  </si>
  <si>
    <t>12.5 #4</t>
  </si>
  <si>
    <t>มีการรายงานผลการทดสอบแผนฉุกเฉินด้าน IT ต่อคณะกรรมการของผู้ประกอบธุรกิจ</t>
  </si>
  <si>
    <t>1. สัมภาษณ์ ผู้บริหารด้านความเสี่ยง หรือ คณะทำงานแผนฉุกเฉินด้าน IT เกี่ยวกับการรายงานผลการทดสอบแผนฉุกเฉินด้าน IT โดยคำนึงถึงประสิทธิผลและความเหมาะสมของแผนงานต่อคณะกรรมการของผู้ประกอบธุรกิจ</t>
  </si>
  <si>
    <t>D2.12 #16</t>
  </si>
  <si>
    <t>12.5 #5</t>
  </si>
  <si>
    <t>มีการทดสอบแผนฉุกเฉินด้าน IT โดยครอบคลุมการเปลี่ยนแปลงกระบวนการทำงาน (business process) หรือการโอนย้ายการประมวลผลไปยังศูนย์คอมพิวเตอร์สำรอง/ระบบ IT สำรอง</t>
  </si>
  <si>
    <t>1. สัมภาษณ์ ผู้บริหารด้านความเสี่ยง หรือ คณะทำงาน BCP หรือ คณะทำงานแผนฉุกเฉินด้าน IT เกี่ยวกับการทดสอบการโอนย้ายกระบวนการทางธุรกิจ หรือการโอนย้ายการประมวลผลไปยังศูนย์ประมวลผลสำรอง
2. สอบทาน "รายงานผลการทดสอบแผนฉุกเฉินด้าน IT" เพื่อให้มั่นใจว่า ทดสอบครอบคลุม 
    (1) การเปลี่ยนแปลงกระบวนการทำงาน (business process) เช่น ให้พนักงานไปปฏิบัติงานในพื้นที่ปฏิบัติงานสำรอง หรือ ให้พนักงานปฏิบัติงานโดยใช้ระบบ IT สำรอง เป็นต้น 
    (2) การโอนย้ายการประมวลผลไปยังศูนย์คอมพิวเตอร์สำรอง/ระบบ IT สำรอง</t>
  </si>
  <si>
    <t>D2.12 #17</t>
  </si>
  <si>
    <t>มีการกำหนดกระบวนการดำเนินงาน เพื่อรับมือเหตุการณ์การใช้ทรัพยากรด้าน IT หรือการใช้ประสิทธิภาพของระบบงานเกินขีดจำกัดของตัวชี้วัดที่กำหนดไว้ เช่น การจำกัดการให้บริการบางช่องทาง หรือตัดการเชื่อมต่อกับผู้ให้บริการหรือบุคคลภายนอกที่มีผลกระทบต่อระบบ IT เป็นต้น</t>
  </si>
  <si>
    <t>1. สัมภาษณ์ ผู้บริหารหน่วยงานบริการความเสี่ยง, คณะทำงานผู้จัดทำแผนการบริหารความต่อเนื่องทางธุรกิจ, ผู้บริหารหน่วยงาน IT  เกี่ยวกับกระบวนการดำเนินงาน เพื่อรับมือเหตุการณ์การใช้ทรัพยากรด้าน IT หรือการใช้ประสิทธิภาพของระบบงานเกินขีดจำกัดของตัวชี้วัดที่กำหนดไว้ เช่น การจำกัดการให้บริการบางช่องทาง หรือตัดการเชื่อมต่อกับผู้ให้บริการหรือบุคคลภายนอกที่มีผลกระทบต่อระบบ IT เป็นต้น
2. สอบทาน "กระบวนการ หรือขั้นตอนการใช้ทรัพยากรเกินขีดจำกัด" เพื่อให้มั่นใจว่ามีการกำหนดกระบวนการดำเนินงาน เพื่อรับมือเหตุการณ์การใช้ทรัพยากรด้าน IT หรือการใช้ประสิทธิภาพของระบบงานเกินขีดจำกัดของตัวชี้วัดที่กำหนดไว้ เช่น การจำกัดการให้บริการบางช่องทาง หรือตัดการเชื่อมต่อกับผู้ให้บริการหรือบุคคลภายนอกที่มีผลกระทบต่อระบบ IT เป็นต้น</t>
  </si>
  <si>
    <t>D2.12 #18</t>
  </si>
  <si>
    <t>มีการทำรายละเอียดในการติดต่อรายชื่อหน่วยงานกำกับดูแลและบุคคลภายนอกที่ให้บริการหรือที่มีการเชื่อมต่อกับระบบ IT ของผู้ประกอบธุรกิจ รวมทั้ง มีการกำหนดช่องทางในการติดต่อ และรายชื่อผู้ที่เกี่ยวข้องของหน่วยงานกำกับดูแลหรือบุคคลภายนอก เพื่อให้สามารถประสานงานในการรายงานเหตุการณ์ผิดปกติด้าน IT หรือขอความช่วยเหลือจากหน่วยงานภายนอกที่เกี่ยวข้องได้อย่างมีประสิทธิภาพ โดยต้องมีการปรับปรุงข้อมูลดังกล่าวให้เป็นปัจจุบันอยู่เสมอ</t>
  </si>
  <si>
    <t>1. สัมภาษณ์ ผู้บริหารหน่วยงานบริการความเสี่ยง, คณะทำงานผู้จัดทำแผนการบริหารความต่อเนื่องทางธุรกิจ, ผู้บริหารหน่วยงาน IT  เกี่ยวกับรายละเอียดการติดต่อเพื่อประสานงานในการรายงานเหตุการณ์ผิดปกติด้าน IT หรือขอความช่วยเหลือจากหน่วยงานภายนอกที่เกี่ยวข้องได้อย่างมีประสิทธิภาพ
2. สอบทาน "นโยบายที่เกี่ยวข้องกับบริหารความต่อเนื่องทางธุรกิจ" เพื่อให้มั่นใจว่ามีการจัดทำนโยบายฯ ทีมีเนื้อหากระบวนการขั้นตอนที่ครอบคลุมถึง
    (1) การกำหนดรายชื่อหน่วยงานกำกับดูแลและบุคคลภายนอกที่ให้บริการหรือที่มีการเชื่อมต่อกับระบบ IT ของผู้ประกอบธุรกิจ
    (2) การกำหนดวิธีการและช่องทางในการติดต่อกับผู้ที่เกี่ยวข้องของหน่วยงานกำกับดูแลหรือบุคคลภายนอกตาม (1) เช่น หมายเลขโทรศัพท์สำนักงาน หมายเลขโทรศัพท์บ้าน หมายเลขโทรศัพท์เคลื่อนที่  หรือ อีเมล เป็นต้น นอกจากนี้บริษัทควรกำหนดช่องทางการสื่อสารเพิ่มเติม เช่น เว็บไซต์บริษัท หรือการเผยแพร่ผ่านสื่อต่าง ๆ  เป็นต้น
3. สอบทาน "แผนฉุกเฉินทางด้าน IT" หรือ "เอกสารอื่นที่เกี่ยวข้อง" เพื่อให้มั่นใจว่า มีการระบุ
    (1) รายชื่อหน่วยงานกำกับดูแลและบุคคลภายนอกที่ให้บริการหรือที่มีการเชื่อมต่อกับระบบ IT ของ ผู้ประกอบธุรกิจ
    (2) ช่องทางในการติดต่อ และรายชื่อผู้ที่เกี่ยวข้องของหน่วยงานกำกับดูแลหรือบุคคลภายนอก
(M4) 4. สอบทานหลักฐานการทบทวนข้อมูลรายละเอียดในการติดต่อเพื่อประสานงานในการรายงานเหตุการณ์ผิดปกติด้าน IT หรือขอความช่วยเหลือจากหน่วยงานภายนอกที่เกี่ยวข้องให้เป็นปัจจุบันอยู่เสมอ
(M5) 5. สอบทาน "หลักฐานการติดตามเชิงรุกต่อรายละเอียดการติดต่อเพื่อประสานงานในการรายงานเหตุการณ์ผิดปกติด้าน IT"  เช่น ทดสอบการติดต่อ เป็นต้น เพื่อปรับปรุงรายชื่อหน่วยงานและวิธีการติดต่อให้เป็นปัจจุบันอย่างสม่ำเสมอ เพื่อให้มั่นใจว่าสามารถติดต่อบุคคลดังกล่าวได้</t>
  </si>
  <si>
    <t>ไม่มีการกำหนดรายชื่อหน่วยงานกำกับดูแลและบุคคลภายนอกที่ให้บริการหรือที่มีการเชื่อมต่อกับระบบ IT ของผู้ประกอบธุรกิจ หรือ ช่องทางในการติดต่อ และรายชื่อผู้ที่เกี่ยวข้องของหน่วยงานกำกับดูแลหรือบุคคลภายนอก</t>
  </si>
  <si>
    <t>มีการกำหนดรายชื่อหน่วยงานกำกับดูแลและบุคคลภายนอกที่ให้บริการหรือที่มีการเชื่อมต่อกับระบบ IT ของผู้ประกอบธุรกิจ หรือ ช่องทางในการติดต่อ และรายชื่อผู้ที่เกี่ยวข้องของหน่วยงานกำกับดูแลหรือบุคคลภายนอก แต่ไม่ครบถ้วนครอบคลุม</t>
  </si>
  <si>
    <t>มีการกำหนดรายชื่อหน่วยงานกำกับดูแลและบุคคลภายนอกที่ให้บริการหรือที่มีการเชื่อมต่อกับระบบ IT ของผู้ประกอบธุรกิจ หรือ ช่องทางในการติดต่อ และรายชื่อผู้ที่เกี่ยวข้องของหน่วยงานกำกับดูแลหรือบุคคลภายนอก ครบถ้วนและถูกต้อง</t>
  </si>
  <si>
    <t>มีการจัดทำตาม Maturity Level 3 รวมถึง มีการสอบทานรายชื่อหน่วยงานและวิธีการติดต่อให้เป็นปัจจุบันอย่างสม่ำเสมอ เพื่อให้มั่นใจว่าสามารถติดต่อบุคคลดังกล่าวได้</t>
  </si>
  <si>
    <t>มีการจัดทำตาม Maturity Level 4 รวมถึง มีการติดตามเชิงรุก เช่น ทดสอบการติดต่อ สำหรับปรับปรุงรายชื่อหน่วยงานและวิธีการติดต่อให้เป็นปัจจุบันอย่างสม่ำเสมอเพื่อให้มั่นใจว่าสามารถติดต่อบุคคลดังกล่าวได้</t>
  </si>
  <si>
    <t>หมวดที่ 3 การตรวจสอบด้าน IT  (Information Technology Audit)</t>
  </si>
  <si>
    <t>D3 #1</t>
  </si>
  <si>
    <t xml:space="preserve">ผู้ตรวจสอบมีความเป็นอิสระจากผู้ทำหน้าที่ด้าน IT ในระดับ ดังนี้
    (1) ระดับที่ 1 (first line of defense) : การปฏิบัติงาน
    (2) ระดับที่ 2 (second line of defense) : การบริหารความเสี่ยงและกำกับดูแลการปฏิบัติตามกฎหมายและหลักเกณฑ์ที่เกี่ยวข้อง    </t>
  </si>
  <si>
    <t>D3 #2</t>
  </si>
  <si>
    <t xml:space="preserve">ผู้ตรวจสอบผ่านการรับรองและมีวุฒิบัตรอย่างใดอย่างหนึ่ง ดังนี้
    (1) Certified Information Systems Auditor (CISA)
    (2) Certified Information Security Manager (CISM)
    (3) Certified Information Systems Security Professional (CISSP)
    (4) ISO/IEC 27001 Lead Auditor 
    (5) ใบรับรองอื่นตามที่กำหนดเพิ่มเติมบนเว็บไซต์ของสำนักงาน </t>
  </si>
  <si>
    <t>D3 #3</t>
  </si>
  <si>
    <t>มีการทบทวนแผนงานและขอบเขตการตรวจสอบให้สอดคล้องกับ IT Risk และประกาศที่ สธ. 38/2565 กำหนด อย่างน้อยปีละ 1 ครั้ง และเมื่อมีเหตุจำเป็นที่ควรได้รับการทบทวนดังกล่าว</t>
  </si>
  <si>
    <t>D3 #4</t>
  </si>
  <si>
    <r>
      <t xml:space="preserve">กำหนดให้มีการตรวจสอบและรายงานผลการตรวจสอบด้าน IT โดยมีการกำหนดหลักเกณฑ์และเวลาการตรวจสอบตามระดับความเสี่ยงของผู้ประกอบธุรกิจที่ผู้ประกอบธุรกิจประเมินได้จากแบบ RLA อย่างเหมาะสม
</t>
    </r>
    <r>
      <rPr>
        <u/>
        <sz val="10"/>
        <rFont val="Tahoma"/>
        <family val="2"/>
        <scheme val="major"/>
      </rPr>
      <t>กรณีเป็นผู้ประกอบธุรกิจขนาดเล็ก</t>
    </r>
    <r>
      <rPr>
        <sz val="10"/>
        <rFont val="Tahoma"/>
        <family val="2"/>
        <scheme val="major"/>
      </rPr>
      <t xml:space="preserve">
    (1) จัดให้มีการตรวจสอบด้าน IT ที่ครอบคลุมหลักเกณฑ์ทั้งหมดที่บังคับใช้กับผู้ประกอบธุรกิจขนาดเล็ก (full scope) อย่างน้อยทุก 3 ปี ตามรอบปีที่สำนักงานกำหนด*
</t>
    </r>
    <r>
      <rPr>
        <u/>
        <sz val="10"/>
        <rFont val="Tahoma"/>
        <family val="2"/>
        <scheme val="major"/>
      </rPr>
      <t>กรณีเป็นผู้ประกอบธุรกิจที่มีความเสี่ยงระดับต่ำ</t>
    </r>
    <r>
      <rPr>
        <sz val="10"/>
        <rFont val="Tahoma"/>
        <family val="2"/>
        <scheme val="major"/>
      </rPr>
      <t xml:space="preserve">
    (1) จัดให้มีการตรวจสอบด้าน IT ที่ครอบคลุมหลักเกณฑ์ทั้งหมดที่บังคับใช้กับผู้ประกอบธุรกิจที่มีความเสี่ยงระดับต่ำ (full scope) อย่างน้อยทุก 3 ปี ตามรอบปีที่สำนักงานกำหนด*
</t>
    </r>
    <r>
      <rPr>
        <u/>
        <sz val="10"/>
        <rFont val="Tahoma"/>
        <family val="2"/>
        <scheme val="major"/>
      </rPr>
      <t xml:space="preserve">
กรณีเป็นผู้ประกอบธุรกิจที่มีความเสี่ยงระดับปานกลางหรือหรือระดับสูง </t>
    </r>
    <r>
      <rPr>
        <sz val="10"/>
        <rFont val="Tahoma"/>
        <family val="2"/>
        <scheme val="major"/>
      </rPr>
      <t xml:space="preserve">
    (1) จัดให้มีการตรวจสอบด้าน IT แบบเต็มรูปแบบ (full scope) ที่ครอบคลุมหลักเกณฑ์ทั้งหมด อย่างน้อยปีละ 1 ครั้ง
*หมายเหตุ : หนังสือเวียน ที่ กลต.ตท.(ว) 5225/2567 กำหนดให้รอบปีที่เริ่มต้นการตรวจสอบ คือ ปี 2569 ที่ผู้ประกอบธุรกิจขนาดเล็ก และผู้ประกอบธุรกิจที่มีความเสี่ยงระดับต่ำ ต้องจัดให้มีการตรวจสอบด้าน IT และนำส่งรายงานผลการตรวจสอบต่อสำนักงาน กล่าวคือ ในปีที่ 2569, 2572, 2575, 2578, ... ผู้ประกอบธุรกิจต้องจัดให้มีการตรวจสอบด้าน IT
ในปีอื่น ๆ ที่มิได้กำหนดให้ต้องดำเนินการตรวจสอบด้าน IT เช่น ปี 2568 เป็นต้น (กรณีที่ไม่เกิดเหตุการณ์ด้านความมั่นคงปลอดภัยของระบบ IT อย่างมีนัยสำคัญ (major IT security incident)) ไม่ต้องดำเนินการตรวจสอบด้าน IT ต่อสำนักงาน
กรณีที่เกิดเหตุการณ์ด้านความมั่นคงปลอดภัยของระบบ IT อย่างมีนัยสำคัญ (major IT securty incident) ในรอบปีที่มิได้กำหนดให้มีการตรวจสอบด้าน IT ผู้ประกอบธุรกิจขนาดเล็กและผู้ประกอบธุรกิจที่มีความเสี่ยงระดับต่ำ ต้องจัดให้มีการดำเนินการตรวจสอบด้าน IT แบบเต็มรูปแบบ (full scope) ภายในปีที่เกิดเหตุการณ์ดังกล่าว และนำส่งผลการตรวจสอบต่อสำนักงาน</t>
    </r>
  </si>
  <si>
    <t>D3 #5</t>
  </si>
  <si>
    <t>กำหนดให้มีการบันทึกข้อมูลเกี่ยวกับการตรวจสอบ เช่น กระดาษทำการ (working paper) และหลักฐานประกอบการตรวจ เป็นต้น เป็นระยะเวลาไม่น้อยกว่า 2 ปีนับแต่วันที่จัดทำรายงานและแผนดังกล่าว โดยต้องจัดเก็บไว้ในลักษณะที่พร้อมให้สำนักงานสามารถเรียกดูและตรวจสอบได้โดยไม่ชักช้า</t>
  </si>
  <si>
    <t>D3 #6</t>
  </si>
  <si>
    <t>จัดให้มีแผนการปรับปรุงแก้ไขข้อบกพร่องที่พบจากการตรวจสอบด้าน IT ที่เหมาะสมกับระดับความเสี่ยงจากข้อบกพร่อง และติดตามความคืบหน้าในการดำเนินการตามแผนดังกล่าว</t>
  </si>
  <si>
    <r>
      <t xml:space="preserve">1.สัมภาษณ์ผู้บริหารด้าน compliance หรือ internal audit เกี่ยวกับ การติดตามการปรับปรุงแก้ไขข้อบกพร่อง/ข้อตรวจพบ (finding) จากการตรวจสอบด้าน IT ครั้งก่อน
2. สัมภาษณ์ผู้บริหารด้าน IT เกี่ยวกับการดำเนินการปรับปรุงแก้ไขข้อบกพร่อง/ข้อตรวจพบ (finding) จากการตรวจสอบด้าน IT ครั้งก่อน
3. สอบทาน  "แผนการปรับปรุงแก้ไขข้อบกพร่อง/ข้อตรวจพบ (finding)" เพื่อให้มั่นใจว่า
    (1) แผนดังกล่าวสามารถใช้ลดความเสี่ยงจากข้อบกพร่อง/ข้อตรวจพบ
    (2) ระยะเวลาในการดำเนินการสอดคล้องกับระดับความเสี่ยงของข้อบกพร่อง/ข้อตรวจพบ
4. สอบทาน "รายงานผลการติดตามการปรับปรุงแก้ไขข้อบกพร่อง/ข้อตรวจพบ (finding) จากการตรวจสอบด้าน IT ครั้งก่อน" เพื่อให้มั่นใจว่า มีการแก้ไขข้อบกพร่อง/ข้อตรวจพบตามแผนการปรับปรุงแก้ไขข้อบกพร่อง/ข้อตรวจพบ (finding) ภายในระยะเวลาที่กำหนดไว้ 
</t>
    </r>
    <r>
      <rPr>
        <u/>
        <sz val="10"/>
        <rFont val="Tahoma"/>
        <family val="2"/>
        <scheme val="major"/>
      </rPr>
      <t>กรณีมีการปรับเปลี่ยนแผน ต้องได้รับอนุมัติจากคณะกรรมการของผู้ประกอบธุรกิจหรือคณะกรรมการตรวจสอบของผู้ประกอบธุรกิจอย่างเหมาะสม</t>
    </r>
  </si>
  <si>
    <t>D3 #7</t>
  </si>
  <si>
    <t>มีการรายงานผลการตรวจสอบทางด้าน IT พร้อมกับแผนการปรับปรุงแก้ไขข้อบกพร่องต่อคณะกรรมการของผู้ประกอบธุรกิจ  คณะกรรมการตรวจสอบของผู้ประกอบธุรกิจ หรือคณะกรรมการที่ได้รับมอบหมายจากคณะกรรมการของผู้ประกอบธุรกิจเฉพาะกรณีเป็นสาขาของธนาคารพาณิชย์ต่างประเทศ โดยไม่ชักช้า</t>
  </si>
  <si>
    <r>
      <t>1.สัมภาษณ์ผู้บริหารด้าน compliance หรือ internal audit เกี่ยวกับการรายงานผลการตรวจสอบ และแผนการปรับปรุงแก้ไขข้อบกพร่องหรือข้อตรวจพบ (findings)</t>
    </r>
    <r>
      <rPr>
        <b/>
        <sz val="10"/>
        <rFont val="Tahoma"/>
        <family val="2"/>
        <scheme val="major"/>
      </rPr>
      <t xml:space="preserve"> </t>
    </r>
    <r>
      <rPr>
        <sz val="10"/>
        <rFont val="Tahoma"/>
        <family val="2"/>
        <scheme val="major"/>
      </rPr>
      <t xml:space="preserve"> ต่อคณะกรรมการของผู้ประกอบธุรกิจ หรือคณะกรรมการตรวจสอบของผู้ประกอบธุรกิจ (Audit Committee) หรือคณะกรรมการที่ได้รับมอบหมายจากคณะกรรมการของผู้ประกอบธุรกิจเฉพาะกรณีเป็นสาขาของธนาคารพาณิชย์ต่างประเทศ (sub-board in case of branches of oversea bank)
2. สอบทาน "รายงานการประชุมคณะกรรมของผู้ประกอบธุรกิจ" หรือ "รายงานการประชุมคณะกรรมการตรวจสอบของผู้ประกอบธุรกิจ" เพื่อให้มั่นใจว่ามีการรายงานผลการตรวจสอบทางด้าน IT และแผนการปรับปรุงแก้ไขข้อบกพร่องหรือข้อตรวจพบ (finding)
    </t>
    </r>
  </si>
  <si>
    <t>D3 #8</t>
  </si>
  <si>
    <t>มีการรายงานผลต่อสำนักงานตามรูปแบบและวิธีการที่กำหนดไว้บนเว็บไซต์ของสำนักงาน ภายใน 3 เดือน* นับแต่วันสิ้นปีปฏิทินของปีที่เริ่มตรวจสอบตามข้อ 3.
* เว้นแต่ในกรณีที่เป็นผู้ประกอบธุรกิจสินทรัพย์ดิจิทัลที่มีหน้าที่ต้องรายงานผลการตรวจสอบตามประกาศคณะกรรมการกำกับหลักทรัพย์และตลาดหลักทรัพย์ ที่ กธ. 19/2561  เรื่อง หลักเกณฑ์ เงื่อนไขและวิธีการประกอบธุรกิจสินทรัพย์ดิจิทัล ให้ผู้ประกอบธุรกิจสินทรัพย์ดิจิทัลปฏิบัติตามประกาศ กธ. 19/2561</t>
  </si>
  <si>
    <t>D3 #9</t>
  </si>
  <si>
    <t>มีการจัดเก็บรายงานผลการตรวจสอบและแผนการปรับปรุงแก้ไขข้อบกพร่องดังกล่าวไม่น้อยกว่า 2 ปี นับแต่วันที่จัดทำรายงานและแผนดังกล่าว โดยต้องจัดเก็บไว้ในลักษณะที่พร้อมให้สำนักงานสามารถเรียกดูและตรวจสอบได้โดยไม่ชักช้า</t>
  </si>
  <si>
    <t>5. สรุปประเด็นข้อตรวจพบ/ข้อบกพร่อง</t>
  </si>
  <si>
    <t>ระดับความสำคัญของข้อตรวจพบ/ข้อบกพร่อง</t>
  </si>
  <si>
    <t>จำนวนข้อ</t>
  </si>
  <si>
    <t>ความสำคัญระดับสูง</t>
  </si>
  <si>
    <t>ความสำคัญระดับปานกลาง</t>
  </si>
  <si>
    <t>ความสำคัญระดับต่ำ</t>
  </si>
  <si>
    <t>รายละเอียดข้อสังเกต</t>
  </si>
  <si>
    <t>ให้ระบุเฉพาะข้อตรวจพบ/ข้อบกพร่อง (finding) ของรอบปีปัจจุบันเท่านั้น</t>
  </si>
  <si>
    <t>หมวดที่</t>
  </si>
  <si>
    <r>
      <t xml:space="preserve">การควบคุมหมายเลขที่ 
(control ID)
</t>
    </r>
    <r>
      <rPr>
        <sz val="10"/>
        <color rgb="FFC00000"/>
        <rFont val="Tahoma"/>
        <family val="2"/>
        <scheme val="minor"/>
      </rPr>
      <t>*โปรดระบุเป็นหมายเลขตาม Column</t>
    </r>
    <r>
      <rPr>
        <b/>
        <sz val="10"/>
        <color rgb="FFC00000"/>
        <rFont val="Tahoma"/>
        <family val="2"/>
        <scheme val="minor"/>
      </rPr>
      <t xml:space="preserve"> A</t>
    </r>
    <r>
      <rPr>
        <sz val="10"/>
        <color rgb="FFC00000"/>
        <rFont val="Tahoma"/>
        <family val="2"/>
        <scheme val="minor"/>
      </rPr>
      <t xml:space="preserve"> ของ Sheet D1-D3</t>
    </r>
  </si>
  <si>
    <t>หัวข้อ (Domain)</t>
  </si>
  <si>
    <t>ข้อตรวจพบ/ข้อบกพร่อง
(Audit finding)</t>
  </si>
  <si>
    <t>ระดับความสำคัญของข้อตรวจพบ
(Rating)</t>
  </si>
  <si>
    <r>
      <t>แผนการแก้ไขข้อตรวจพบ/ข้อบกพร่อง
(</t>
    </r>
    <r>
      <rPr>
        <u/>
        <sz val="10"/>
        <color theme="1"/>
        <rFont val="Tahoma"/>
        <family val="2"/>
        <scheme val="minor"/>
      </rPr>
      <t>Corrective action plan</t>
    </r>
    <r>
      <rPr>
        <sz val="10"/>
        <color theme="1"/>
        <rFont val="Tahoma"/>
        <family val="2"/>
        <scheme val="minor"/>
      </rPr>
      <t>)</t>
    </r>
  </si>
  <si>
    <t>วันที่แก้ไขแล้วเสร็จ หรือคาดว่าจะแล้วเสร็จ
(Close Date or Target Close Date: MM/YYYY)</t>
  </si>
  <si>
    <t>หมายเหตุ 
(ถ้ามีข้อมูลสำคัญที่จะอธิบายเพิ่มเติม)</t>
  </si>
  <si>
    <t>D1. IT Governance</t>
  </si>
  <si>
    <t>นโยบายที่เกี่ยวข้องกับการกำกับดูแลความเสี่ยงด้าน IT</t>
  </si>
  <si>
    <t>นโยบายที่เกี่ยวข้องกับการกำกับดูแลความเสี่ยงด้าน IT และขั้นตอนการปฏิบัติงานไม่ได้รับการทบทวน</t>
  </si>
  <si>
    <t>1. กำหนดให้คณะกรรมการ … เป็นผู้รับผิดชอบในการทบทวนโนบาย … 
2. กำหนดรอบการทบทวนนโยบาย … โดยจัดให้มีการทบทวนนโยบายทุกปีในช่วง …</t>
  </si>
  <si>
    <t>D2. IT Security</t>
  </si>
  <si>
    <t>D2.11 #13, D2.11 #14, D2.11 #15, D2.11 #16</t>
  </si>
  <si>
    <t>การบริหารจัดการเหตุการณ์ผิดปกติด้าน IT</t>
  </si>
  <si>
    <t>ไม่มีการทดสอบการบริหารจัดการเหตุการณ์ด้านภัยคุกคามทางไซเบอร์ (cyber security drill)</t>
  </si>
  <si>
    <t>1. กำหนดผู้รับผิดชอบในการทดสอบแผน...
2. …</t>
  </si>
  <si>
    <t>Sheet ID</t>
  </si>
  <si>
    <t>Row ID</t>
  </si>
  <si>
    <t>DomainID</t>
  </si>
  <si>
    <t>CategoryID</t>
  </si>
  <si>
    <t>AdvControl</t>
  </si>
  <si>
    <t>สธ</t>
  </si>
  <si>
    <t>นป</t>
  </si>
  <si>
    <t>Score for NIST
(Max 3)</t>
  </si>
  <si>
    <t>N/A Or Blank</t>
  </si>
  <si>
    <t>NIST 2.0</t>
  </si>
  <si>
    <t>Govern</t>
  </si>
  <si>
    <t>Identify</t>
  </si>
  <si>
    <t>Protect</t>
  </si>
  <si>
    <t>Detect</t>
  </si>
  <si>
    <t>Response</t>
  </si>
  <si>
    <t>Recovery</t>
  </si>
  <si>
    <t>4. D1</t>
  </si>
  <si>
    <t>D1</t>
  </si>
  <si>
    <t>N</t>
  </si>
  <si>
    <t>GOVERN (GV)</t>
  </si>
  <si>
    <t>GOVERN (GV)+PROTECT(PR)</t>
  </si>
  <si>
    <t>Y</t>
  </si>
  <si>
    <t>IDENTIFY (ID)</t>
  </si>
  <si>
    <t>GOVERN (GV) + IDENTIFY (ID)</t>
  </si>
  <si>
    <t>IDENTITY (ID)</t>
  </si>
  <si>
    <t>D2.1</t>
  </si>
  <si>
    <t>D2</t>
  </si>
  <si>
    <t>PROTECT (PR)</t>
  </si>
  <si>
    <t>D2.2</t>
  </si>
  <si>
    <t xml:space="preserve">GOVERN (GV) </t>
  </si>
  <si>
    <t>RESPOND (RS)</t>
  </si>
  <si>
    <t>D2.3</t>
  </si>
  <si>
    <t>IDENTIFY(ID)</t>
  </si>
  <si>
    <t>D2.4</t>
  </si>
  <si>
    <t xml:space="preserve">
GOVERN (GV)   + IDENTIFY (ID)</t>
  </si>
  <si>
    <t>GOVERN (GV)   + IDENTIFY (ID)</t>
  </si>
  <si>
    <t>D2.5</t>
  </si>
  <si>
    <t>GOVERN (GV) + PROTECT (PR)</t>
  </si>
  <si>
    <t>DETECT (DE)</t>
  </si>
  <si>
    <t>D2.6</t>
  </si>
  <si>
    <t>D2.7</t>
  </si>
  <si>
    <t>PROTECT (PR)+DETECT (DE)</t>
  </si>
  <si>
    <t>D2.8</t>
  </si>
  <si>
    <t>2.8.1</t>
  </si>
  <si>
    <t>2.8.2</t>
  </si>
  <si>
    <t>GOVERN (GV) + IDENTITY (ID)</t>
  </si>
  <si>
    <t>2.8.3</t>
  </si>
  <si>
    <t>2.8.4</t>
  </si>
  <si>
    <t>PROTECT (PR) + DETECT (DE) + RESPONSE (RS)</t>
  </si>
  <si>
    <t>DETECT (DE) + RESPONSE (RS)</t>
  </si>
  <si>
    <t>PROTECT (PR) + DETECT (DE)</t>
  </si>
  <si>
    <t>2.8.5</t>
  </si>
  <si>
    <t>IDENTIFY(ID) + PROTECT (PR)</t>
  </si>
  <si>
    <t>2.8.6</t>
  </si>
  <si>
    <t>GOVERN (GV) +PROTECT(PR)</t>
  </si>
  <si>
    <t>PROTECT(PR)</t>
  </si>
  <si>
    <t>PROTECT(PR) + RECOVER (RC)</t>
  </si>
  <si>
    <t>2.8.7</t>
  </si>
  <si>
    <t>PROTECT(PR) + DETECT(DE)</t>
  </si>
  <si>
    <t>2.8.8</t>
  </si>
  <si>
    <t>DETECT(DE)</t>
  </si>
  <si>
    <t>IDENTIFY (ID) + DETECT (DE)</t>
  </si>
  <si>
    <t>2.8.9</t>
  </si>
  <si>
    <t>2.8.10</t>
  </si>
  <si>
    <t>2.8.11</t>
  </si>
  <si>
    <t>D2.9</t>
  </si>
  <si>
    <t xml:space="preserve">IDENTITY (ID) + PROTECT(PR) </t>
  </si>
  <si>
    <t>GOVERN (GV) + IDENTiTY (ID) + PROTECT (PR)</t>
  </si>
  <si>
    <t>GOVERN (GV)+PROTECT (PR) + (ID)</t>
  </si>
  <si>
    <t>PROTECT(PR)+DETECT(DE)</t>
  </si>
  <si>
    <t>D2.10</t>
  </si>
  <si>
    <t xml:space="preserve">
GOVERN (GV)</t>
  </si>
  <si>
    <t xml:space="preserve">GOVERN (GV)
</t>
  </si>
  <si>
    <t>GOVERN (GV</t>
  </si>
  <si>
    <t xml:space="preserve">
PROTECT (PR)</t>
  </si>
  <si>
    <t>GOVERN (GV)+PROTECT (PR)</t>
  </si>
  <si>
    <t>IDENTIFY (ID)+PROTECT (PR)</t>
  </si>
  <si>
    <t>D2.11</t>
  </si>
  <si>
    <t>IDENTITY (ID) + RESPONSE (RS)</t>
  </si>
  <si>
    <t>DETECT (DE) + RESPOND (RS)</t>
  </si>
  <si>
    <t>RESPOND (RS) + RECOVER (RC)</t>
  </si>
  <si>
    <t>GOVERN (GV)+RESPOND (RS)</t>
  </si>
  <si>
    <t>IDENTIFY (ID) + RESPOND (RS)</t>
  </si>
  <si>
    <t>RESPOND (RS) + IDENTIFY (ID)</t>
  </si>
  <si>
    <t xml:space="preserve"> 
GOVERN (GV)</t>
  </si>
  <si>
    <t>D2.12</t>
  </si>
  <si>
    <t>RECOVER (RC)</t>
  </si>
  <si>
    <t>GOVERN (GV) + Recovery (RC)</t>
  </si>
  <si>
    <t>IDENTIFY (ID) + PROTECT (PR)</t>
  </si>
  <si>
    <t>PROTECT (PR) + RESPOND (RS)</t>
  </si>
  <si>
    <t>D3</t>
  </si>
  <si>
    <t>RLA Type</t>
  </si>
  <si>
    <t>RLA ความเสี่ยงสูง</t>
  </si>
  <si>
    <t>RLA ความเสี่ยงปานกลาง</t>
  </si>
  <si>
    <t>RLA ความเสี่ยงต่ำ</t>
  </si>
  <si>
    <t>RLA ผู้ประกอบธุรกิจขนาดเล็ก</t>
  </si>
  <si>
    <t>6. สรุปผลการตรวจสอบในภาพรวม</t>
  </si>
  <si>
    <t>ตัวอย่างการวิเคราะห์ผลการตรวจสอบเบื้องต้น ผู้ประกอบธุรกิจสามารถนำไปประยุกต์ใช้เพิ่มเติมได้</t>
  </si>
  <si>
    <t>Domain</t>
  </si>
  <si>
    <t>หัวข้อ (EN)</t>
  </si>
  <si>
    <t>หัวข้อ (TH)</t>
  </si>
  <si>
    <t>Basic controls</t>
  </si>
  <si>
    <t>Advanced controls (สำหรับ ผปก. เสี่ยงสูง)</t>
  </si>
  <si>
    <t xml:space="preserve">จำนวน controls
ทั้งหมด </t>
  </si>
  <si>
    <t>ผลตรวจ</t>
  </si>
  <si>
    <t>การปฏิบัติ
ตามเกณฑ์
(เต็ม 3)</t>
  </si>
  <si>
    <t>คะแนนพิเศษจาก M4 และ M5
(เต็ม 2)</t>
  </si>
  <si>
    <t>คะแนนรวม
(เต็ม 5)</t>
  </si>
  <si>
    <t>จำนวน controls
ทั้งหมด</t>
  </si>
  <si>
    <t>Compliance percentage</t>
  </si>
  <si>
    <t>1
(No)</t>
  </si>
  <si>
    <t>2
(Partial)</t>
  </si>
  <si>
    <t>3
(Yes)</t>
  </si>
  <si>
    <t>No</t>
  </si>
  <si>
    <t>Partial</t>
  </si>
  <si>
    <t>Yes</t>
  </si>
  <si>
    <t>IT Governance</t>
  </si>
  <si>
    <t>การกำกับดูแลและบริหารจัดการด้าน IT</t>
  </si>
  <si>
    <t>Roles and Responsibilities of the BOD</t>
  </si>
  <si>
    <t>1.2</t>
  </si>
  <si>
    <t>Structure of Governance</t>
  </si>
  <si>
    <t>Policies on IT Risk Supervision</t>
  </si>
  <si>
    <t>IT Security</t>
  </si>
  <si>
    <t>การรักษาความมั่นคงปลอดภัยด้าน IT</t>
  </si>
  <si>
    <t>Organization of IT Security</t>
  </si>
  <si>
    <t>Personnel and Third-Party Management</t>
  </si>
  <si>
    <t>การบริหารจัดการบุคลากร และบุคคลภายนอก</t>
  </si>
  <si>
    <t>Personnel Management</t>
  </si>
  <si>
    <t>Third-Party Management</t>
  </si>
  <si>
    <t>การบริหารจัดการบุคคลภายนอก</t>
  </si>
  <si>
    <t>IT Asset Management</t>
  </si>
  <si>
    <t>การบริหารจัดการทรัพย์สินด้าน IT</t>
  </si>
  <si>
    <t>Data Security</t>
  </si>
  <si>
    <t>การรักษาความมั่นคงปลอดภัยของข้อมูล</t>
  </si>
  <si>
    <t>Access Control</t>
  </si>
  <si>
    <t xml:space="preserve">การควบคุมการเข้าถึงข้อมูลและระบบ IT </t>
  </si>
  <si>
    <t>Cryptographic Control</t>
  </si>
  <si>
    <t xml:space="preserve">การควบคุมการเข้ารหัส </t>
  </si>
  <si>
    <t>Physical and Environmental Security</t>
  </si>
  <si>
    <t xml:space="preserve">การรักษาความมั่นคงปลอดภัยทางกายภาพและสภาพแวดล้อม </t>
  </si>
  <si>
    <t>IT Operations Security</t>
  </si>
  <si>
    <t xml:space="preserve">การรักษาความมั่นคงปลอดภัยในการปฏิบัติงานด้าน IT </t>
  </si>
  <si>
    <t>System Configuration Management</t>
  </si>
  <si>
    <t>การบริหารจัดการการตั้งค่าระบบ</t>
  </si>
  <si>
    <t>Change Management</t>
  </si>
  <si>
    <t>การบริหารจัดการการเปลี่ยนแปลง</t>
  </si>
  <si>
    <t>Capacity Management</t>
  </si>
  <si>
    <t xml:space="preserve">การบริหารจัดการขีดความสามารถของระบบ IT </t>
  </si>
  <si>
    <t>Server and Endpoint Security</t>
  </si>
  <si>
    <t xml:space="preserve">การรักษาความมั่นคงปลอดภัยของเครื่องแม่ข่าย และอุปกรณ์ที่ใช้ปฏิบัติงาน </t>
  </si>
  <si>
    <t xml:space="preserve">Teleworking, Mobile Device and BYOD Security </t>
  </si>
  <si>
    <t>การกำหนดนโยบายและมาตรการรักษาความปลอดภัยสำหรับการปฏิบัติงานจากเครือข่ายภายนอก การใช้งานอุปกรณ์เคลื่อนที่ และการใช้งานอุปกรณ์ส่วนตัว</t>
  </si>
  <si>
    <t>Data Backup</t>
  </si>
  <si>
    <t xml:space="preserve">การสำรองข้อมูล </t>
  </si>
  <si>
    <t>IT System Logging</t>
  </si>
  <si>
    <t xml:space="preserve">การจัดเก็บข้อมูลบันทึกเหตุการณ์การใช้งานเกี่ยวกับระบบ IT </t>
  </si>
  <si>
    <t>Security Monitoring</t>
  </si>
  <si>
    <t xml:space="preserve">การติดตามดูแลระบบและเฝ้าระวังภัยคุกคามทางไซเบอร์ </t>
  </si>
  <si>
    <t>Technical Vulnerability Assessment</t>
  </si>
  <si>
    <t xml:space="preserve">การประเมินช่องโหว่ทางเทคนิค </t>
  </si>
  <si>
    <t>Penetration test</t>
  </si>
  <si>
    <t>การทดสอบการเจาะระบบ</t>
  </si>
  <si>
    <t>Patch Management</t>
  </si>
  <si>
    <t>การบริหารจัดการโปรแกรมแก้ไขช่องโหว่</t>
  </si>
  <si>
    <t>2.9</t>
  </si>
  <si>
    <t>Communication System Security</t>
  </si>
  <si>
    <t xml:space="preserve">การรักษาความมั่นคงปลอดภัยเกี่ยวกับระบบเครือข่ายสื่อสาร </t>
  </si>
  <si>
    <t>2.10</t>
  </si>
  <si>
    <t>IT Project Mgmt and System Acq, Dev and Mnt</t>
  </si>
  <si>
    <t xml:space="preserve">การบริหารจัดการโครงการด้าน IT  การจัดหา พัฒนา และบำรุงรักษาระบบ IT </t>
  </si>
  <si>
    <t>2.11</t>
  </si>
  <si>
    <t>IT Incident Management</t>
  </si>
  <si>
    <t xml:space="preserve">การบริหารจัดการเหตุการณ์ผิดปกติด้าน IT </t>
  </si>
  <si>
    <t>2.12</t>
  </si>
  <si>
    <t>IT Contingency Plan</t>
  </si>
  <si>
    <t>แผนฉุกเฉินด้าน IT</t>
  </si>
  <si>
    <t>IT Audit</t>
  </si>
  <si>
    <t>การตรวจสอบด้าน IT</t>
  </si>
  <si>
    <t>Total</t>
  </si>
  <si>
    <t>Amber</t>
  </si>
  <si>
    <t>Green</t>
  </si>
  <si>
    <t>6.1 สรุปผลการตรวจสอบในภาพรวม (สำหรับผู้ประกอบธุรกิจขนาดเล็กที่ต้องปฏิบัติตามข้อกำหนด Cyber Hygiene)</t>
  </si>
  <si>
    <t>Cyber Hygiene : สำหรับผู้ประกอบธุรกิจขนาดเล็ก</t>
  </si>
  <si>
    <t>Cyber Hygiene Control Sets (สำหรับผู้ประกอบธุรกิจขนาดเล็ก)</t>
  </si>
  <si>
    <t>คะแนนพิเศษจาก M4 และ M5 
(เต็ม 2)</t>
  </si>
  <si>
    <t>หน่วยงานตรวจสอบภายใน</t>
  </si>
  <si>
    <t>CISA</t>
  </si>
  <si>
    <t>เก่า</t>
  </si>
  <si>
    <t xml:space="preserve">in progress </t>
  </si>
  <si>
    <t>เชื่อมต่อ</t>
  </si>
  <si>
    <t>ผู้เชี่ยวชาญภายนอก</t>
  </si>
  <si>
    <t>CISM</t>
  </si>
  <si>
    <t>ปานกลาง</t>
  </si>
  <si>
    <t>ใหม่</t>
  </si>
  <si>
    <t>completed</t>
  </si>
  <si>
    <t>ไม่เชื่อมต่อ</t>
  </si>
  <si>
    <t>การปฏิบัติงานร่วมระหว่างภายในและภายนอก (Co-Sourcing)</t>
  </si>
  <si>
    <t>CISSP</t>
  </si>
  <si>
    <t>ต่ำ**</t>
  </si>
  <si>
    <t>ISO27001 Lead Auditor</t>
  </si>
  <si>
    <t>ผู้ประกอบธุรกิจขนาดเล็ก**</t>
  </si>
  <si>
    <t>โครงสร้างการบริหารงานเพื่อการรักษาความมั่นคงปลอดภัยด้าน IT (organization of information technology security)</t>
  </si>
  <si>
    <t>การบริหารจัดการทรัพย์สินด้าน IT (IT asset management)</t>
  </si>
  <si>
    <t>การรักษาความมั่นคงปลอดภัยของข้อมูล (data security)</t>
  </si>
  <si>
    <t>การควบคุมการเข้าถึงข้อมูลและระบบ IT (access control)</t>
  </si>
  <si>
    <t>การควบคุมการเข้ารหัส (cryptographic control)</t>
  </si>
  <si>
    <t>การรักษาความมั่นคงปลอดภัยทางกายภาพและสภาพแวดล้อม (physical and environmental security)</t>
  </si>
  <si>
    <t>การรักษาความมั่นคงปลอดภัยในการปฏิบัติงานด้าน IT (IT operations security)</t>
  </si>
  <si>
    <t>การรักษาความมั่นคงปลอดภัยเกี่ยวกับระบบเครือข่ายสื่อสาร (communication system security)</t>
  </si>
  <si>
    <t>การบริหารจัดการโครงการด้าน IT (IT project management) การจัดหา พัฒนา และบำรุงรักษาระบบ IT (system acquisition, development and maintenance)</t>
  </si>
  <si>
    <t>การบริหารจัดการเหตุการณ์ผิดปกติด้าน IT (IT incident management)</t>
  </si>
  <si>
    <t>แผนฉุกเฉินด้าน IT (IT contingency plan)</t>
  </si>
  <si>
    <t>การตรวจสอบด้านเทคโนโลยีสารสนเทศ (Information Technology Audit)</t>
  </si>
  <si>
    <t>โครงสร้างการบริหารงานเพื่อการรักษาความมั่นคงปลอดภัยด้าน IT</t>
  </si>
  <si>
    <t xml:space="preserve">การบริหารจัดการทรัพย์สินด้าน IT </t>
  </si>
  <si>
    <t xml:space="preserve">การรักษาความมั่นคงปลอดภัยของข้อมูล </t>
  </si>
  <si>
    <t>การควบคุมการเข้ารหัส</t>
  </si>
  <si>
    <t>การรักษาความมั่นคงปลอดภัยทางกายภาพและสภาพแวดล้อม</t>
  </si>
  <si>
    <t>การรักษาความมั่นคงปลอดภัยในการปฏิบัติงานด้าน IT</t>
  </si>
  <si>
    <t>การรักษาความมั่นคงปลอดภัยเกี่ยวกับระบบเครือข่ายสื่อสาร</t>
  </si>
  <si>
    <t>การบริหารจัดการโครงการด้าน IT การจัดหา พัฒนา และบำรุงรักษาระบบ IT</t>
  </si>
  <si>
    <t>การตรวจสอบด้านเทคโนโลยีสารสนเทศ</t>
  </si>
  <si>
    <t xml:space="preserve">บุคลากรภายในด้าน IT Security </t>
  </si>
  <si>
    <t>มี</t>
  </si>
  <si>
    <t>Host-based Firewall</t>
  </si>
  <si>
    <t xml:space="preserve">ผู้ให้บริการภายนอกด้าน IT Security </t>
  </si>
  <si>
    <t>ไม่มี</t>
  </si>
  <si>
    <t>Network-based Firewall</t>
  </si>
  <si>
    <t>ทั้งบุคลากรภายใน และผู้ให้บริการภายนอก</t>
  </si>
  <si>
    <t>Co-location</t>
  </si>
  <si>
    <t>เครื่องแม่ข่าย (server)</t>
  </si>
  <si>
    <t>Firewall</t>
  </si>
  <si>
    <t>อื่น ๆ</t>
  </si>
  <si>
    <t>อุปกรณ์ที่ใช้ปฏิบัติงาน (endpoint)</t>
  </si>
  <si>
    <t>IDS</t>
  </si>
  <si>
    <t>ระบบเครือข่าย (network)</t>
  </si>
  <si>
    <t>IPS</t>
  </si>
  <si>
    <t>DLP</t>
  </si>
  <si>
    <t>Anti-Virus</t>
  </si>
  <si>
    <t>OS</t>
  </si>
  <si>
    <t>DB</t>
  </si>
  <si>
    <t>Virtualization tool</t>
  </si>
  <si>
    <t>X</t>
  </si>
  <si>
    <t/>
  </si>
  <si>
    <t>D3. IT Audit</t>
  </si>
  <si>
    <t>Cloud Service Provider</t>
  </si>
  <si>
    <t>Operating System</t>
  </si>
  <si>
    <t>Database</t>
  </si>
  <si>
    <t>Antivirus</t>
  </si>
  <si>
    <t>VM tools</t>
  </si>
  <si>
    <t>Switch</t>
  </si>
  <si>
    <t>Router</t>
  </si>
  <si>
    <t>Alibaba Cloud</t>
  </si>
  <si>
    <t>Alpine Linux</t>
  </si>
  <si>
    <t>AWS e.g. RDS, Redshift, Aurora, DynamoDB</t>
  </si>
  <si>
    <t>AWS</t>
  </si>
  <si>
    <t xml:space="preserve">AWS </t>
  </si>
  <si>
    <t>Check Point</t>
  </si>
  <si>
    <t>AlphaPoint</t>
  </si>
  <si>
    <t>Amazon Linux</t>
  </si>
  <si>
    <t>Azure SQL</t>
  </si>
  <si>
    <t>Azure</t>
  </si>
  <si>
    <t>Asiainfo Security</t>
  </si>
  <si>
    <t>Citrix Hypervisor</t>
  </si>
  <si>
    <t>Dell</t>
  </si>
  <si>
    <t>BottleRocket linux</t>
  </si>
  <si>
    <t>BSB</t>
  </si>
  <si>
    <t>Barracuda</t>
  </si>
  <si>
    <t>Avast</t>
  </si>
  <si>
    <t>Docker</t>
  </si>
  <si>
    <t>AWN / CS Loxinfo (CSL)</t>
  </si>
  <si>
    <t>CentOS</t>
  </si>
  <si>
    <t>Elasticsearch</t>
  </si>
  <si>
    <t>Bitdefender</t>
  </si>
  <si>
    <t>KVM</t>
  </si>
  <si>
    <t>Extreme Networks</t>
  </si>
  <si>
    <t>Fortinet</t>
  </si>
  <si>
    <t>DigitalOcean</t>
  </si>
  <si>
    <t>Debian Server</t>
  </si>
  <si>
    <t>IBM Db2</t>
  </si>
  <si>
    <t>ClamAV</t>
  </si>
  <si>
    <t>Microsoft Hyper-V</t>
  </si>
  <si>
    <t>HPE Aruba</t>
  </si>
  <si>
    <t>Dot Enterprise</t>
  </si>
  <si>
    <t>ESX Host</t>
  </si>
  <si>
    <t>Informix</t>
  </si>
  <si>
    <t>Fortinet FortiGate</t>
  </si>
  <si>
    <t>Comodo</t>
  </si>
  <si>
    <t>Morpheus</t>
  </si>
  <si>
    <t>H3C</t>
  </si>
  <si>
    <t>Huawei</t>
  </si>
  <si>
    <t>Global Innovative Solution</t>
  </si>
  <si>
    <t>IBM e.g. AIX, AS, iSeries, z/OS</t>
  </si>
  <si>
    <t>MariaDB</t>
  </si>
  <si>
    <t>Google Cloud</t>
  </si>
  <si>
    <t>CrowdStrike</t>
  </si>
  <si>
    <t>OpenVMS</t>
  </si>
  <si>
    <t>Juniper Networks</t>
  </si>
  <si>
    <t>Google Cloud Platform (GCP) / Workspace</t>
  </si>
  <si>
    <t>MacOS</t>
  </si>
  <si>
    <t>Microsoft SQL Server / Azure SQL</t>
  </si>
  <si>
    <t>Illumio</t>
  </si>
  <si>
    <t>Cybereason</t>
  </si>
  <si>
    <t>Oracle VM</t>
  </si>
  <si>
    <t>MikroTik</t>
  </si>
  <si>
    <t>Huawei cloud</t>
  </si>
  <si>
    <t>OpenShift</t>
  </si>
  <si>
    <t>MongoDB</t>
  </si>
  <si>
    <t xml:space="preserve">Imperva Incapsula </t>
  </si>
  <si>
    <t>Deep-Secure</t>
  </si>
  <si>
    <t>Parallels RAS</t>
  </si>
  <si>
    <t>Netgate (pfSense)</t>
  </si>
  <si>
    <t>IBM Cloud</t>
  </si>
  <si>
    <t>Juniper</t>
  </si>
  <si>
    <t>ESET</t>
  </si>
  <si>
    <t>Red Hat Virtualization</t>
  </si>
  <si>
    <t>Palo Alto Networks</t>
  </si>
  <si>
    <t>INET</t>
  </si>
  <si>
    <t>Oracle Linux / Oracle Solaris</t>
  </si>
  <si>
    <t>Oracle</t>
  </si>
  <si>
    <t>Kaspersky</t>
  </si>
  <si>
    <t>Netgear</t>
  </si>
  <si>
    <t>Ubiquiti Networks</t>
  </si>
  <si>
    <t>In-house /  Intragroup (Cloud ในกลุ่มธุรกิจ)</t>
  </si>
  <si>
    <t>Pervasive</t>
  </si>
  <si>
    <t>NetSkope</t>
  </si>
  <si>
    <t>Malwarebytes</t>
  </si>
  <si>
    <t>Windows Hyper-V</t>
  </si>
  <si>
    <t>TP-Link</t>
  </si>
  <si>
    <t>Kyndryl</t>
  </si>
  <si>
    <t>SUSE Linux Enterprise Server (SLES)</t>
  </si>
  <si>
    <t>PostgreSQL</t>
  </si>
  <si>
    <t>McAfee</t>
  </si>
  <si>
    <t>Ubiquiti UniFi</t>
  </si>
  <si>
    <t>Linode (Akamai)</t>
  </si>
  <si>
    <t>Ubuntu Linux</t>
  </si>
  <si>
    <t>Redis</t>
  </si>
  <si>
    <t>Panorama</t>
  </si>
  <si>
    <t>Microsoft</t>
  </si>
  <si>
    <t>Microsoft Azure / Microsoft 365</t>
  </si>
  <si>
    <t>Windows server</t>
  </si>
  <si>
    <t>SAP e.g. HANA, IQ, ASE</t>
  </si>
  <si>
    <t>SonicWall</t>
  </si>
  <si>
    <t>Secureworks</t>
  </si>
  <si>
    <t>NetDesign</t>
  </si>
  <si>
    <t>Windows for desktop</t>
  </si>
  <si>
    <t>Sophos</t>
  </si>
  <si>
    <t>SentinelOne</t>
  </si>
  <si>
    <t>NIPA Cloud</t>
  </si>
  <si>
    <t>Watchguard</t>
  </si>
  <si>
    <t>NTT Cloud</t>
  </si>
  <si>
    <t>Zscaler</t>
  </si>
  <si>
    <t>Symantec</t>
  </si>
  <si>
    <t>Oracle Cloud</t>
  </si>
  <si>
    <t>Trellix</t>
  </si>
  <si>
    <t>OVHcloud</t>
  </si>
  <si>
    <t>Salesforce</t>
  </si>
  <si>
    <t>SIS Cloud</t>
  </si>
  <si>
    <t>TCloud</t>
  </si>
  <si>
    <t>True IDC</t>
  </si>
  <si>
    <t>Vercel</t>
  </si>
  <si>
    <t>Z.com Cloud</t>
  </si>
  <si>
    <t>ประเภทระบบงาน system in scope</t>
  </si>
  <si>
    <t>Company Name</t>
  </si>
  <si>
    <t>Data Validation</t>
  </si>
  <si>
    <t>ธนาคารกรุงเทพ จำกัด (มหาชน)</t>
  </si>
  <si>
    <t>ธนาคารกรุงไทย จำกัด (มหาชน)</t>
  </si>
  <si>
    <t>ธนาคารกรุงศรีอยุธยา จำกัด (มหาชน)</t>
  </si>
  <si>
    <t>ธนาคารกสิกรไทย จำกัด (มหาชน)</t>
  </si>
  <si>
    <t>ธนาคารเกียรตินาคินภัทร จำกัด (มหาชน)</t>
  </si>
  <si>
    <t>ธนาคารเจพีมอร์แกน เชส สาขากรุงเทพฯ</t>
  </si>
  <si>
    <t>ธนาคารซิตี้แบงก์ เอ็น. เอ.</t>
  </si>
  <si>
    <t>ธนาคารซีไอเอ็มบี ไทย จำกัด (มหาชน)</t>
  </si>
  <si>
    <t>ธนาคารดอยซ์แบงก์</t>
  </si>
  <si>
    <t>ธนาคารทหารไทยธนชาต จำกัด (มหาชน)</t>
  </si>
  <si>
    <t>ธนาคารทิสโก้ จำกัด (มหาชน)</t>
  </si>
  <si>
    <t>ธนาคารไทยเครดิต จำกัด (มหาชน)</t>
  </si>
  <si>
    <t>ธนาคารไทยพาณิชย์ จำกัด (มหาชน)</t>
  </si>
  <si>
    <t>ธนาคารบีเอ็นพี พารีบาส์ สาขากรุงเทพฯ</t>
  </si>
  <si>
    <t>ธนาคารยูโอบี จำกัด (มหาชน)</t>
  </si>
  <si>
    <t>ธนาคารแลนด์ แอนด์ เฮ้าส์ จำกัด (มหาชน)</t>
  </si>
  <si>
    <t>ธนาคารสแตนดาร์ดชาร์เตอร์ด (ไทย) จำกัด (มหาชน)</t>
  </si>
  <si>
    <t>ธนาคารแห่งอเมริกา เนชั่นแนล แอสโซซิเอชั่น</t>
  </si>
  <si>
    <t>ธนาคารออมสิน</t>
  </si>
  <si>
    <t>ธนาคารไอซีบีซี (ไทย) จำกัด (มหาชน)</t>
  </si>
  <si>
    <t>ธนาคารฮ่องกงและเซี่ยงไฮ้แบงกิ้งคอร์ปอเรชั่น จำกัด</t>
  </si>
  <si>
    <t>บริษัท 1109 พรอส์เปอร์ จำกัด</t>
  </si>
  <si>
    <t>บริษัท กรุงเทพประกันชีวิต จำกัด (มหาชน)</t>
  </si>
  <si>
    <t>บริษัท กรุงไทย-แอกซ่า ประกันชีวิต จำกัด (มหาชน)</t>
  </si>
  <si>
    <t>บริษัท กัลฟ์ ไบแนนซ์ จำกัด</t>
  </si>
  <si>
    <t>บริษัท คริปโตมายด์ แอดไวเซอรี่ จำกัด</t>
  </si>
  <si>
    <t>บริษัท คอยน์ดี จำกัด</t>
  </si>
  <si>
    <t>บริษัท คอยส์ ทีเอช จำกัด</t>
  </si>
  <si>
    <t>บริษัท คิวบิกซ์ ดิจิทัล แอสเสท จำกัด</t>
  </si>
  <si>
    <t>บริษัท เคดับบลิวไอ ประกันชีวิต จำกัด (มหาชน)</t>
  </si>
  <si>
    <t>บริษัท จีเอ็มโอ-แซด.คอม คริปโทนอมิคซ์ (ประเทศไทย) จำกัด</t>
  </si>
  <si>
    <t>บริษัท เจนเนอราลี่ ประกันชีวิต (ไทยแลนด์) จำกัด (มหาชน)</t>
  </si>
  <si>
    <t>บริษัท ซาโตชิ จำกัด</t>
  </si>
  <si>
    <t>บริษัท ซิปเม็กซ์ จำกัด</t>
  </si>
  <si>
    <t>บริษัท ดรีมเมคเกอร์ อิควิตี้ คราวด์ฟันดิ้ง จำกัด</t>
  </si>
  <si>
    <t>บริษัท ดิจิทัล แอคเซส แพลตฟอร์ม จำกัด</t>
  </si>
  <si>
    <t>บริษัท ตลาดสัญญาซื้อขายล่วงหน้า (ประเทศไทย) จำกัด (มหาชน)</t>
  </si>
  <si>
    <t>บริษัท โตเกียวมารีนประกันชีวิต (ประเทศไทย) จำกัด (มหาชน)</t>
  </si>
  <si>
    <t>บริษัท ที-บ็อกซ์ (ไทยแลนด์) จำกัด</t>
  </si>
  <si>
    <t>บริษัท โทเคน เอกซ์ จำกัด</t>
  </si>
  <si>
    <t>บริษัท ไทยประกันชีวิต จำกัด (มหาชน)</t>
  </si>
  <si>
    <t>บริษัท ไทยสมุทรประกันชีวิต จำกัด (มหาชน)</t>
  </si>
  <si>
    <t>บริษัท บิทคับ ออนไลน์ จำกัด</t>
  </si>
  <si>
    <t>บริษัท บิทาซซ่า จำกัด</t>
  </si>
  <si>
    <t>บริษัท บิเธิร์บ จำกัด</t>
  </si>
  <si>
    <t>บริษัท พรูเด็นเชียล ประกันชีวิต (ประเทศไทย) จำกัด (มหาชน)</t>
  </si>
  <si>
    <t>บริษัท เพียร์ พาวเวอร์ แพลตฟอร์ม จำกัด</t>
  </si>
  <si>
    <t>บริษัท ฟินเน็ต อินโนเวชั่น เน็ตเวิร์ค จำกัด</t>
  </si>
  <si>
    <t>บริษัท ฟินันเซีย ดิจิทัล แอสเซท จำกัด</t>
  </si>
  <si>
    <t>บริษัท ฟิลลิปประกันชีวิต จำกัด (มหาชน)</t>
  </si>
  <si>
    <t>บริษัท แฟรคชั่น (ประเทศไทย) จำกัด</t>
  </si>
  <si>
    <t>บริษัท เมอร์เคิล แคปปิตอล จำกัด</t>
  </si>
  <si>
    <t>บริษัท เมืองไทยประกันชีวิต จำกัด (มหาชน)</t>
  </si>
  <si>
    <t>บริษัท แมกซ์บิท ดิจิทัล แอสเซท จำกัด</t>
  </si>
  <si>
    <t>บริษัท รวมใจไทยสู้ จำกัด</t>
  </si>
  <si>
    <t>บริษัท รักขา ดิจิทัล จำกัด</t>
  </si>
  <si>
    <t>บริษัท แรบบิท ประกันชีวิต จำกัด (มหาชน)</t>
  </si>
  <si>
    <t>บริษัท ลองรูท (ประเทศไทย) จำกัด</t>
  </si>
  <si>
    <t>บริษัท วายแอลจี บูลเลี่ยน แอนด์ ฟิวเจอร์ส จำกัด</t>
  </si>
  <si>
    <t>บริษัท วาฬ เอ็กเชนจ์ จำกัด</t>
  </si>
  <si>
    <t>บริษัท ศูนย์ซื้อขายสินทรัพย์ดิจิทัลไทย จำกัด</t>
  </si>
  <si>
    <t>บริษัท ศูนย์รับฝากหลักทรัพย์ (ประเทศไทย) จำกัด</t>
  </si>
  <si>
    <t>บริษัท สยาม วาลิดัส แคปปิตอล จำกัด</t>
  </si>
  <si>
    <t>บริษัท สำนักหักบัญชี (ประเทศไทย) จำกัด</t>
  </si>
  <si>
    <t>บริษัท หลักทรัพย์ กรุงไทย เอ็กซ์สปริง จำกัด</t>
  </si>
  <si>
    <t>บริษัท หลักทรัพย์ กรุงศรี พัฒนสิน จำกัด (มหาชน)</t>
  </si>
  <si>
    <t>บริษัท หลักทรัพย์ กสิกรไทย จำกัด (มหาชน)</t>
  </si>
  <si>
    <t>บริษัท หลักทรัพย์ เกียรตินาคินภัทร จำกัด (มหาชน)</t>
  </si>
  <si>
    <t>บริษัท หลักทรัพย์ เคเคพี ไดม์ จำกัด</t>
  </si>
  <si>
    <t>บริษัท หลักทรัพย์ เคพีเอ็ม จำกัด</t>
  </si>
  <si>
    <t>บริษัท หลักทรัพย์ ดาโอ (ประเทศไทย) จำกัด (มหาชน)</t>
  </si>
  <si>
    <t>บริษัท หลักทรัพย์ ไทยพาณิชย์ จูเลียส แบร์ จำกัด</t>
  </si>
  <si>
    <t>บริษัท หลักทรัพย์ บลูเบลล์ จำกัด</t>
  </si>
  <si>
    <t>บริษัท หลักทรัพย์ ไพน์ เวลท์ โซลูชั่น จำกัด</t>
  </si>
  <si>
    <t>บริษัท หลักทรัพย์ ลิเบอเรเตอร์ จำกัด</t>
  </si>
  <si>
    <t>บริษัท หลักทรัพย์ แลนด์ แอนด์ เฮ้าส์ จำกัด (มหาชน)</t>
  </si>
  <si>
    <t>บริษัท หลักทรัพย์ เว็ลธ์ เมจิก จำกัด</t>
  </si>
  <si>
    <t>บริษัท หลักทรัพย์ สยามเวลธ์ จำกัด</t>
  </si>
  <si>
    <t>บริษัท หลักทรัพย์ อินโนเวสท์ เอกซ์ จำกัด</t>
  </si>
  <si>
    <t>บริษัท หลักทรัพย์ เอเซีย พลัส จำกัด</t>
  </si>
  <si>
    <t>บริษัท หลักทรัพย์ เอเอสแอล จำกัด</t>
  </si>
  <si>
    <t>บริษัท หลักทรัพย์ แอลจีที (ประเทศไทย) จำกัด</t>
  </si>
  <si>
    <t>บริษัท หลักทรัพย์กรุงศรี จำกัด (มหาชน)</t>
  </si>
  <si>
    <t>บริษัท หลักทรัพย์โกลเบล็ก จำกัด</t>
  </si>
  <si>
    <t>บริษัท หลักทรัพย์คิงส์ฟอร์ด จำกัด (มหาชน)</t>
  </si>
  <si>
    <t>บริษัท หลักทรัพย์เคจีไอ (ประเทศไทย) จำกัด (มหาชน)</t>
  </si>
  <si>
    <t>บริษัท หลักทรัพย์จัดการกองทุน วรรณ จำกัด</t>
  </si>
  <si>
    <t>บริษัท หลักทรัพย์จัดการกองทุนกรุงไทย จำกัด (มหาชน)</t>
  </si>
  <si>
    <t>บริษัท หลักทรัพย์จัดการกองทุนกรุงศรี จำกัด</t>
  </si>
  <si>
    <t>บริษัท หลักทรัพย์จัดการกองทุนกสิกรไทย จำกัด</t>
  </si>
  <si>
    <t>บริษัท หลักทรัพย์จัดการกองทุนการ์เดียนแคปิตอล จำกัด</t>
  </si>
  <si>
    <t>บริษัท หลักทรัพย์จัดการกองทุนเกียรตินาคินภัทร จำกัด</t>
  </si>
  <si>
    <t>บริษัท หลักทรัพย์จัดการกองทุนเคดับบลิวไอ จำกัด</t>
  </si>
  <si>
    <t>บริษัท หลักทรัพย์จัดการกองทุนจิตตะ เวลธ์ จำกัด</t>
  </si>
  <si>
    <t>บริษัท หลักทรัพย์จัดการกองทุนซาวาคามิ (ประเทศไทย) จำกัด</t>
  </si>
  <si>
    <t>บริษัท หลักทรัพย์จัดการกองทุนซีแอล จำกัด</t>
  </si>
  <si>
    <t>บริษัท หลักทรัพย์จัดการกองทุนดาโอ จำกัด</t>
  </si>
  <si>
    <t>บริษัท หลักทรัพย์จัดการกองทุนเดนาลี เพรสทีจ จำกัด</t>
  </si>
  <si>
    <t>บริษัท หลักทรัพย์จัดการกองทุนทาลิส จำกัด</t>
  </si>
  <si>
    <t>บริษัท หลักทรัพย์จัดการกองทุนทิสโก้ จำกัด</t>
  </si>
  <si>
    <t>บริษัท หลักทรัพย์จัดการกองทุนไทยพาณิชย์ จำกัด</t>
  </si>
  <si>
    <t>บริษัท หลักทรัพย์จัดการกองทุนบางกอกแคปปิตอล จำกัด</t>
  </si>
  <si>
    <t>บริษัท หลักทรัพย์จัดการกองทุนพรินซิเพิล จำกัด</t>
  </si>
  <si>
    <t>บริษัท หลักทรัพย์จัดการกองทุนเมธา จำกัด</t>
  </si>
  <si>
    <t>บริษัท หลักทรัพย์จัดการกองทุนเมอร์ชั่น พาร์ทเนอร์ จำกัด</t>
  </si>
  <si>
    <t>บริษัท หลักทรัพย์จัดการกองทุนยูโอบี (ประเทศไทย) จำกัด</t>
  </si>
  <si>
    <t>บริษัท หลักทรัพย์จัดการกองทุนรวมบัวหลวง จำกัด</t>
  </si>
  <si>
    <t>บริษัท หลักทรัพย์จัดการกองทุนรวมฟิลลิป จำกัด</t>
  </si>
  <si>
    <t>บริษัท หลักทรัพย์จัดการกองทุนลีฟแคปปิตอล จำกัด</t>
  </si>
  <si>
    <t>บริษัท หลักทรัพย์จัดการกองทุนแลนด์ แอนด์ เฮ้าส์ จำกัด</t>
  </si>
  <si>
    <t>บริษัท หลักทรัพย์จัดการกองทุนสแทชอเวย์ (ประเทศไทย) จำกัด</t>
  </si>
  <si>
    <t>บริษัท หลักทรัพย์จัดการกองทุนอเบอร์ดีน (ประเทศไทย) จำกัด</t>
  </si>
  <si>
    <t>บริษัท หลักทรัพย์จัดการกองทุนอีสท์สปริง (ประเทศไทย) จำกัด</t>
  </si>
  <si>
    <t>บริษัท หลักทรัพย์จัดการกองทุนเอ็กซ์สปริง จำกัด</t>
  </si>
  <si>
    <t>บริษัท หลักทรัพย์จัดการกองทุนเอ็มเอฟซี จำกัด (มหาชน)</t>
  </si>
  <si>
    <t>บริษัท หลักทรัพย์จัดการกองทุนเอไอเอ (ประเทศไทย) จำกัด</t>
  </si>
  <si>
    <t>บริษัท หลักทรัพย์จัดการกองทุนแอสเซท พลัส จำกัด</t>
  </si>
  <si>
    <t>บริษัท หลักทรัพย์จัดการกองทุนไอร่า จำกัด</t>
  </si>
  <si>
    <t>บริษัท หลักทรัพย์จีเอ็มโอ-แซด คอม (ประเทศไทย) จำกัด (มหาชน)</t>
  </si>
  <si>
    <t>บริษัท หลักทรัพย์เจพีมอร์แกน (ประเทศไทย) จำกัด</t>
  </si>
  <si>
    <t>บริษัท หลักทรัพย์ซิตี้คอร์ป (ประเทศไทย) จำกัด</t>
  </si>
  <si>
    <t>บริษัท หลักทรัพย์ซี แอล เอส เอ (ประเทศไทย) จำกัด</t>
  </si>
  <si>
    <t>บริษัท หลักทรัพย์ซีจีเอส-ซีไอเอ็มบี (ประเทศไทย) จำกัด</t>
  </si>
  <si>
    <t>บริษัท หลักทรัพย์ดีบีเอส วิคเคอร์ส (ประเทศไทย) จำกัด</t>
  </si>
  <si>
    <t>บริษัท หลักทรัพย์ทรีนีตี้ จำกัด</t>
  </si>
  <si>
    <t>บริษัท หลักทรัพย์ทิสโก้ จำกัด</t>
  </si>
  <si>
    <t>บริษัท หลักทรัพย์ที่ปรึกษาการลงทุน เดฟินิท จำกัด</t>
  </si>
  <si>
    <t>บริษัท หลักทรัพย์ที่ปรึกษาการลงทุน ฟาร์นัม ตรี จำกัด</t>
  </si>
  <si>
    <t>บริษัท หลักทรัพย์ที่ปรึกษาการลงทุนคลาสสิก ออสสิริส จำกัด</t>
  </si>
  <si>
    <t>บริษัท หลักทรัพย์ที่ปรึกษาการลงทุนควอนตัม เว็ลธ์ จำกัด</t>
  </si>
  <si>
    <t>บริษัท หลักทรัพย์ที่ปรึกษาการลงทุนไคลเอนท์-เซนเตอร์ ครอส-บอร์เดอร์ จำกัด</t>
  </si>
  <si>
    <t>บริษัท หลักทรัพย์ที่ปรึกษาการลงทุนดีพสโคป จำกัด</t>
  </si>
  <si>
    <t>บริษัท หลักทรัพย์ที่ปรึกษาการลงทุนต้นธารคอร์ปอเรชั่น จำกัด</t>
  </si>
  <si>
    <t>บริษัท หลักทรัพย์ที่ปรึกษาการลงทุนเทรเชอริสต์ จำกัด</t>
  </si>
  <si>
    <t>บริษัท หลักทรัพย์ที่ปรึกษาการลงทุนบี แอนด์ บี ไลฟ์ พาร์ทเนอร์ จำกัด</t>
  </si>
  <si>
    <t>บริษัท หลักทรัพย์ที่ปรึกษาการลงทุนบีเอ็มเค เวลธ์ จำกัด</t>
  </si>
  <si>
    <t>บริษัท หลักทรัพย์ที่ปรึกษาการลงทุนโพรบิท แอดไวซอรี่ จำกัด</t>
  </si>
  <si>
    <t>บริษัท หลักทรัพย์ที่ปรึกษาการลงทุนฟินน์คอร์ป จำกัด</t>
  </si>
  <si>
    <t>บริษัท หลักทรัพย์ที่ปรึกษาการลงทุนโรโบเวลธ์ จำกัด</t>
  </si>
  <si>
    <t>บริษัท หลักทรัพย์ที่ปรึกษาการลงทุนเวลธ ครีเอชั่น อินเตอร์เนชั่นแนล จำกัด</t>
  </si>
  <si>
    <t>บริษัท หลักทรัพย์ที่ปรึกษาการลงทุนอเวนเจอร์ แพลนเนอร์ จำกัด</t>
  </si>
  <si>
    <t>บริษัท หลักทรัพย์ที่ปรึกษาการลงทุนเอกการลงทุน จำกัด</t>
  </si>
  <si>
    <t>บริษัท หลักทรัพย์ที่ปรึกษาการลงทุนเอฟเอสเอส อินเตอร์เนชั่นแนล จำกัด</t>
  </si>
  <si>
    <t>บริษัท หลักทรัพย์ที่ปรึกษาการลงทุนเอ็มบีเอ็มจี จำกัด</t>
  </si>
  <si>
    <t>บริษัท หลักทรัพย์ที่ปรึกษาการลงทุนฮิปโป เวลธ์ (ไทยแลนด์) จำกัด</t>
  </si>
  <si>
    <t>บริษัท หลักทรัพย์ธนชาต จำกัด (มหาชน)</t>
  </si>
  <si>
    <t>บริษัท หลักทรัพย์นายหน้าซื้อขายหน่วยลงทุน ยูเนี่ยน เว็ลธ์ จำกัด</t>
  </si>
  <si>
    <t>บริษัท หลักทรัพย์นายหน้าซื้อขายหน่วยลงทุน โรโบเวลธ์ จำกัด</t>
  </si>
  <si>
    <t>บริษัท หลักทรัพย์นายหน้าซื้อขายหน่วยลงทุน เวลธ์ คอนเซปท์ จำกัด</t>
  </si>
  <si>
    <t>บริษัท หลักทรัพย์นายหน้าซื้อขายหน่วยลงทุน แอสเซนด์ เวลธ์ จำกัด</t>
  </si>
  <si>
    <t>บริษัท หลักทรัพย์นายหน้าซื้อขายหน่วยลงทุนฐานเศรษฐกิจ แคปพิตอล จำกัด</t>
  </si>
  <si>
    <t>บริษัท หลักทรัพย์นายหน้าซื้อขายหน่วยลงทุนเทรเชอริสต์ จำกัด</t>
  </si>
  <si>
    <t>บริษัท หลักทรัพย์นายหน้าซื้อขายหน่วยลงทุนฟินโนมีนา จำกัด</t>
  </si>
  <si>
    <t>บริษัท หลักทรัพย์นายหน้าซื้อขายหน่วยลงทุนไฟแนนเชียล ลิงค์ จำกัด</t>
  </si>
  <si>
    <t>บริษัท หลักทรัพย์นายหน้าซื้อขายหน่วยลงทุนเวลท์ รีพับบลิค จำกัด</t>
  </si>
  <si>
    <t>บริษัท หลักทรัพย์นายหน้าซื้อขายหน่วยลงทุนเวลธ์ เซอร์ติฟายด์ จำกัด</t>
  </si>
  <si>
    <t>บริษัท หลักทรัพย์นายหน้าซื้อขายหน่วยลงทุนอมุนดิ (ประเทศไทย) จำกัด</t>
  </si>
  <si>
    <t>บริษัท หลักทรัพย์บัวหลวง จำกัด (มหาชน)</t>
  </si>
  <si>
    <t>บริษัท หลักทรัพย์บียอนด์ จำกัด (มหาชน)</t>
  </si>
  <si>
    <t>บริษัท หลักทรัพย์บีเอ็นพี พารีบาส์ (ประเทศไทย) จำกัด</t>
  </si>
  <si>
    <t>บริษัท หลักทรัพย์พาย จำกัด (มหาชน)</t>
  </si>
  <si>
    <t>บริษัท หลักทรัพย์เพื่อธุรกิจหลักทรัพย์ จำกัด (มหาชน)</t>
  </si>
  <si>
    <t>บริษัท หลักทรัพย์ฟินันซ่า จำกัด</t>
  </si>
  <si>
    <t>บริษัท หลักทรัพย์ฟินันเซีย ไซรัส จำกัด (มหาชน)</t>
  </si>
  <si>
    <t>บริษัท หลักทรัพย์ฟิลลิป (ประเทศไทย) จำกัด (มหาชน)</t>
  </si>
  <si>
    <t>บริษัท หลักทรัพย์เมย์แบงก์ (ประเทศไทย) จำกัด (มหาชน)</t>
  </si>
  <si>
    <t>บริษัท หลักทรัพย์เมอร์ชั่น พาร์ทเนอร์ จำกัด (มหาชน)</t>
  </si>
  <si>
    <t>บริษัท หลักทรัพย์เมอร์ริล ลินช์ (ประเทศไทย) จำกัด</t>
  </si>
  <si>
    <t>บริษัท หลักทรัพย์แมคควอรี (ประเทศไทย) จำกัด</t>
  </si>
  <si>
    <t>บริษัท หลักทรัพย์ยูบีเอส (ประเทศไทย) จำกัด</t>
  </si>
  <si>
    <t>บริษัท หลักทรัพย์ยูโอบี เคย์เฮียน (ประเทศไทย) จำกัด (มหาชน)</t>
  </si>
  <si>
    <t>บริษัท หลักทรัพย์วีบูลล์ (ประเทศไทย) จำกัด</t>
  </si>
  <si>
    <t>บริษัท หลักทรัพย์หยวนต้า (ประเทศไทย) จำกัด</t>
  </si>
  <si>
    <t>บริษัท หลักทรัพย์อาร์เอชบี (ประเทศไทย) จำกัด (มหาชน)</t>
  </si>
  <si>
    <t>บริษัท หลักทรัพย์เอสบีไอ ไทย ออนไลน์ จำกัด</t>
  </si>
  <si>
    <t>บริษัท หลักทรัพย์ไอ วี โกลบอล จำกัด (มหาชน)</t>
  </si>
  <si>
    <t>บริษัท หลักทรัพย์ไอร่า จำกัด (มหาชน)</t>
  </si>
  <si>
    <t>บริษัท อลิอันซ์ อยุธยา ประกันชีวิต จำกัด (มหาชน)</t>
  </si>
  <si>
    <t>บริษัท ออร์บิกซ์ เทรด จำกัด</t>
  </si>
  <si>
    <t>บริษัท ออร์บิกซ์ อินเวสท์ จำกัด</t>
  </si>
  <si>
    <t>บริษัท อัพบิต เอ็กซ์เชนจ์ (ประเทศไทย) จำกัด</t>
  </si>
  <si>
    <t>บริษัท อินเวสทรี (ไทยแลนด์) จำกัด</t>
  </si>
  <si>
    <t>บริษัท อีอาร์เอ็กซ์ จำกัด</t>
  </si>
  <si>
    <t>บริษัท เอ็กซ์สปริง ดิจิทัล จำกัด</t>
  </si>
  <si>
    <t>บริษัท เอฟดับบลิวดี ประกันชีวิต จำกัด (มหาชน)</t>
  </si>
  <si>
    <t>บริษัท เอฟเอส สยาม จำกัด</t>
  </si>
  <si>
    <t>บริษัท เอ็มทีเอส แคปปิตอล จำกัด</t>
  </si>
  <si>
    <t>บริษัท เอไอเอ จำกัด</t>
  </si>
  <si>
    <t>บริษัท ฮั่วเซ่งเฮง โกลด์ ฟิวเจอร์ส จำกัด</t>
  </si>
  <si>
    <t>รอบปี 2569</t>
  </si>
  <si>
    <r>
      <t>** หมายเหตุ : รอบปีการตรวจสอบ ค.ศ. 2026 (พ.ศ. 2569) สำนักงาน</t>
    </r>
    <r>
      <rPr>
        <b/>
        <u/>
        <sz val="10"/>
        <color theme="1" tint="0.34998626667073579"/>
        <rFont val="Tahoma"/>
        <family val="2"/>
        <scheme val="minor"/>
      </rPr>
      <t>มิได้</t>
    </r>
    <r>
      <rPr>
        <sz val="10"/>
        <color theme="1" tint="0.34998626667073579"/>
        <rFont val="Tahoma"/>
        <family val="2"/>
        <scheme val="minor"/>
      </rPr>
      <t>กำหนดให้ผู้ประกอบธุรกิจที่มีผลการประเมินแบบ RLA ปี 2567 เป็น</t>
    </r>
    <r>
      <rPr>
        <b/>
        <sz val="10"/>
        <color theme="1" tint="0.34998626667073579"/>
        <rFont val="Tahoma"/>
        <family val="2"/>
        <scheme val="minor"/>
      </rPr>
      <t xml:space="preserve"> </t>
    </r>
    <r>
      <rPr>
        <b/>
        <i/>
        <sz val="10"/>
        <color theme="1" tint="0.34998626667073579"/>
        <rFont val="Tahoma"/>
        <family val="2"/>
        <scheme val="minor"/>
      </rPr>
      <t>ผู้ประกอบธุรกิจขนาดเล็ก</t>
    </r>
    <r>
      <rPr>
        <sz val="10"/>
        <color theme="1" tint="0.34998626667073579"/>
        <rFont val="Tahoma"/>
        <family val="2"/>
        <scheme val="minor"/>
      </rPr>
      <t xml:space="preserve"> หรือ </t>
    </r>
    <r>
      <rPr>
        <i/>
        <sz val="10"/>
        <color theme="1" tint="0.34998626667073579"/>
        <rFont val="Tahoma"/>
        <family val="2"/>
        <scheme val="minor"/>
      </rPr>
      <t>ผู้</t>
    </r>
    <r>
      <rPr>
        <b/>
        <i/>
        <sz val="10"/>
        <color theme="1" tint="0.34998626667073579"/>
        <rFont val="Tahoma"/>
        <family val="2"/>
        <scheme val="minor"/>
      </rPr>
      <t>ประกอบธุรกิจที่มีความเสี่ยงระดับต่ำ</t>
    </r>
    <r>
      <rPr>
        <sz val="10"/>
        <color theme="1" tint="0.34998626667073579"/>
        <rFont val="Tahoma"/>
        <family val="2"/>
        <scheme val="minor"/>
      </rPr>
      <t xml:space="preserve"> ต้องจัดให้มีการตรวจสอบปี 2568
• </t>
    </r>
    <r>
      <rPr>
        <b/>
        <u/>
        <sz val="10"/>
        <color rgb="FFFF0000"/>
        <rFont val="Tahoma"/>
        <family val="2"/>
        <scheme val="minor"/>
      </rPr>
      <t>เว้นแต่</t>
    </r>
    <r>
      <rPr>
        <sz val="10"/>
        <color theme="1" tint="0.34998626667073579"/>
        <rFont val="Tahoma"/>
        <family val="2"/>
        <scheme val="minor"/>
      </rPr>
      <t xml:space="preserve"> ในปี 2568 ผู้ประกอบธุรกิจ</t>
    </r>
    <r>
      <rPr>
        <b/>
        <sz val="10"/>
        <color theme="1" tint="0.34998626667073579"/>
        <rFont val="Tahoma"/>
        <family val="2"/>
        <scheme val="minor"/>
      </rPr>
      <t>เกิดเหตุการณ์ด้านความมั่นคงปลอดภัยของระบบ IT อย่างมีนัยสำคัญ (Major IT Security Incident)</t>
    </r>
    <r>
      <rPr>
        <sz val="10"/>
        <color theme="1" tint="0.34998626667073579"/>
        <rFont val="Tahoma"/>
        <family val="2"/>
        <scheme val="minor"/>
      </rPr>
      <t xml:space="preserve"> </t>
    </r>
    <r>
      <rPr>
        <b/>
        <i/>
        <sz val="10"/>
        <color theme="1" tint="0.34998626667073579"/>
        <rFont val="Tahoma"/>
        <family val="2"/>
        <scheme val="minor"/>
      </rPr>
      <t>ผู้ประกอบธุรกิจขนาดเล็ก</t>
    </r>
    <r>
      <rPr>
        <sz val="10"/>
        <color theme="1" tint="0.34998626667073579"/>
        <rFont val="Tahoma"/>
        <family val="2"/>
        <scheme val="minor"/>
      </rPr>
      <t xml:space="preserve"> และ </t>
    </r>
    <r>
      <rPr>
        <b/>
        <i/>
        <sz val="10"/>
        <color theme="1" tint="0.34998626667073579"/>
        <rFont val="Tahoma"/>
        <family val="2"/>
        <scheme val="minor"/>
      </rPr>
      <t>ผู้ประกอบธุรกิจที่มีความเสี่ยงระดับต่ำ</t>
    </r>
    <r>
      <rPr>
        <sz val="10"/>
        <color theme="1" tint="0.34998626667073579"/>
        <rFont val="Tahoma"/>
        <family val="2"/>
        <scheme val="minor"/>
      </rPr>
      <t xml:space="preserve"> ต้องจัดให้มีการดำเนินการตรวจสอบด้าน IT แบบเต็มรูปแบบ (Full Scope) ภายในปี 2568 ด้วย (รายละเอียดเพิ่มเติม โปรดอ้างอิงข้อกำหนดในภาคผนวก 4 แนบท้ายประกาศที่ สธ. 38/2565 ที่แก้ไขเพิ่มเติมโดยประกาศที่ สธ. 33/2567)
• </t>
    </r>
    <r>
      <rPr>
        <b/>
        <sz val="10"/>
        <color theme="1" tint="0.34998626667073579"/>
        <rFont val="Tahoma"/>
        <family val="2"/>
        <scheme val="minor"/>
      </rPr>
      <t>ผู้ประกอบธุรกิจสินทรัพย์ดิจิทัล</t>
    </r>
    <r>
      <rPr>
        <sz val="10"/>
        <color theme="1" tint="0.34998626667073579"/>
        <rFont val="Tahoma"/>
        <family val="2"/>
        <scheme val="minor"/>
      </rPr>
      <t xml:space="preserve"> แม้จะประเมินผล RLA ได้เป็นผู้ประกอบธุรกิจขนาดเล็ก (เช่น ผู้ประกอบธุรกิจที่ปรึกษาโทเคนดิจิทัล/ที่ปรึกษาคริปโทเคอร์เรนซี เป็นต้น) จะยังต้องจัดให้มีการตรวจสอบด้าน IT </t>
    </r>
    <r>
      <rPr>
        <b/>
        <sz val="10"/>
        <color theme="1" tint="0.34998626667073579"/>
        <rFont val="Tahoma"/>
        <family val="2"/>
        <scheme val="minor"/>
      </rPr>
      <t>อย่างน้อยปีละ 1 ครั้ง</t>
    </r>
    <r>
      <rPr>
        <sz val="10"/>
        <color theme="1" tint="0.34998626667073579"/>
        <rFont val="Tahoma"/>
        <family val="2"/>
        <scheme val="minor"/>
      </rPr>
      <t xml:space="preserve"> เนื่องจากประกาศ กธ. 16/2561 ได้กำหนดให้ผู้ประกอบธุรกิจสินทรัพย์ดิจิทัลจัดให้มีการตรวจสอบอย่างน้อยปีละ 1 ครั้ง นอกจากนี้ </t>
    </r>
    <r>
      <rPr>
        <b/>
        <sz val="10"/>
        <color theme="1" tint="0.34998626667073579"/>
        <rFont val="Tahoma"/>
        <family val="2"/>
        <scheme val="minor"/>
      </rPr>
      <t>ต้องนำส่งตามเงื่อนไขของประกาศ กธ. 19/2561 ด้วย</t>
    </r>
    <r>
      <rPr>
        <sz val="10"/>
        <color theme="1" tint="0.34998626667073579"/>
        <rFont val="Tahoma"/>
        <family val="2"/>
        <scheme val="minor"/>
      </rPr>
      <t xml:space="preserve"> (รายงานผลต่อสำนักงาน ก.ล.ต. ภายใน 30 วันนับจากวันที่ได้รับผลการทดสอบอย่างเป็นทางการ แต่ไม่เกิน 90 วันนับจากวันที่สิ้นสุดกระบวนการทดสอบ)
• ผลการประเมิน RLA รอบปี พ.ศ. 2567 สำหรับใช้เพื่อกำหนด scope การตรวจสอบรอบปี 2568 เท่านั้น  กรณีการตรวจสอบรอบปี 2569 โปรดอ้างอิงจากผลการประเมิน RLA รอบใหม่</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</si>
</sst>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87" formatCode="0.0"/>
    <numFmt numFmtId="188" formatCode="mm/yyyy"/>
    <numFmt numFmtId="189" formatCode="0\-0000\-00000\-00\-0"/>
    <numFmt numFmtId="190" formatCode="[$-1010000]d/m/yyyy;@"/>
  </numFmts>
  <fonts count="71" x14ac:knownFonts="1">
    <font>
      <sz val="11"/>
      <color theme="1"/>
      <name val="Tahoma"/>
      <family val="2"/>
      <scheme val="minor"/>
    </font>
    <font>
      <sz val="14"/>
      <color theme="1"/>
      <name val="Tahoma"/>
      <family val="2"/>
      <scheme val="minor"/>
    </font>
    <font>
      <sz val="10"/>
      <color theme="1"/>
      <name val="Tahoma"/>
      <family val="2"/>
      <scheme val="minor"/>
    </font>
    <font>
      <sz val="8"/>
      <name val="Tahoma"/>
      <family val="2"/>
      <scheme val="minor"/>
    </font>
    <font>
      <sz val="12"/>
      <color theme="1"/>
      <name val="Tahoma"/>
      <family val="2"/>
      <scheme val="minor"/>
    </font>
    <font>
      <sz val="14"/>
      <name val="Calibri"/>
      <family val="2"/>
    </font>
    <font>
      <b/>
      <sz val="10"/>
      <color theme="1"/>
      <name val="Tahoma"/>
      <family val="2"/>
      <scheme val="minor"/>
    </font>
    <font>
      <b/>
      <sz val="10"/>
      <color theme="0"/>
      <name val="Tahoma"/>
      <family val="2"/>
      <scheme val="minor"/>
    </font>
    <font>
      <b/>
      <u/>
      <sz val="10"/>
      <color theme="1"/>
      <name val="Tahoma"/>
      <family val="2"/>
      <scheme val="minor"/>
    </font>
    <font>
      <u/>
      <sz val="10"/>
      <color theme="5"/>
      <name val="Tahoma"/>
      <family val="2"/>
      <scheme val="minor"/>
    </font>
    <font>
      <sz val="10"/>
      <color theme="5"/>
      <name val="Tahoma"/>
      <family val="2"/>
      <scheme val="minor"/>
    </font>
    <font>
      <sz val="10"/>
      <color theme="0" tint="-0.499984740745262"/>
      <name val="Tahoma"/>
      <family val="2"/>
      <scheme val="minor"/>
    </font>
    <font>
      <sz val="10"/>
      <name val="Tahoma"/>
      <family val="2"/>
      <scheme val="minor"/>
    </font>
    <font>
      <b/>
      <sz val="10"/>
      <name val="Tahoma"/>
      <family val="2"/>
      <scheme val="minor"/>
    </font>
    <font>
      <b/>
      <sz val="10"/>
      <color rgb="FFFF0000"/>
      <name val="Tahoma"/>
      <family val="2"/>
      <scheme val="minor"/>
    </font>
    <font>
      <sz val="10"/>
      <color theme="0"/>
      <name val="Tahoma"/>
      <family val="2"/>
      <scheme val="minor"/>
    </font>
    <font>
      <u/>
      <sz val="10"/>
      <color theme="1"/>
      <name val="Tahoma"/>
      <family val="2"/>
      <scheme val="minor"/>
    </font>
    <font>
      <sz val="10"/>
      <color rgb="FFFF0000"/>
      <name val="Tahoma"/>
      <family val="2"/>
      <scheme val="minor"/>
    </font>
    <font>
      <sz val="14"/>
      <name val="TH SarabunPSK"/>
      <family val="2"/>
    </font>
    <font>
      <b/>
      <sz val="12"/>
      <color theme="0"/>
      <name val="Tahoma"/>
      <family val="2"/>
      <scheme val="minor"/>
    </font>
    <font>
      <sz val="11"/>
      <color theme="1"/>
      <name val="Tahoma"/>
      <family val="2"/>
      <scheme val="minor"/>
    </font>
    <font>
      <sz val="10"/>
      <color theme="1"/>
      <name val="Impact"/>
      <family val="2"/>
    </font>
    <font>
      <b/>
      <sz val="14"/>
      <color theme="1"/>
      <name val="TH SarabunPSK"/>
      <family val="2"/>
    </font>
    <font>
      <sz val="14"/>
      <color theme="1"/>
      <name val="TH SarabunPSK"/>
      <family val="2"/>
    </font>
    <font>
      <b/>
      <sz val="10"/>
      <color theme="7" tint="0.39997558519241921"/>
      <name val="Tahoma"/>
      <family val="2"/>
      <scheme val="minor"/>
    </font>
    <font>
      <sz val="9"/>
      <color theme="1"/>
      <name val="Tahoma"/>
      <family val="2"/>
      <scheme val="minor"/>
    </font>
    <font>
      <sz val="10"/>
      <color rgb="FFC00000"/>
      <name val="Tahoma"/>
      <family val="2"/>
      <scheme val="minor"/>
    </font>
    <font>
      <b/>
      <sz val="14"/>
      <name val="Tahoma"/>
      <family val="2"/>
      <scheme val="minor"/>
    </font>
    <font>
      <b/>
      <u/>
      <sz val="14"/>
      <name val="Tahoma"/>
      <family val="2"/>
      <scheme val="minor"/>
    </font>
    <font>
      <sz val="16"/>
      <color rgb="FFFF0000"/>
      <name val="Tahoma"/>
      <family val="2"/>
      <scheme val="minor"/>
    </font>
    <font>
      <u/>
      <sz val="16"/>
      <color rgb="FFFF0000"/>
      <name val="Tahoma"/>
      <family val="2"/>
      <scheme val="minor"/>
    </font>
    <font>
      <sz val="14"/>
      <name val="Tahoma"/>
      <family val="2"/>
      <scheme val="minor"/>
    </font>
    <font>
      <b/>
      <sz val="14"/>
      <color rgb="FFFF0000"/>
      <name val="Tahoma"/>
      <family val="2"/>
      <scheme val="minor"/>
    </font>
    <font>
      <sz val="10"/>
      <color theme="0"/>
      <name val="Tahoma"/>
      <family val="2"/>
      <scheme val="major"/>
    </font>
    <font>
      <u/>
      <sz val="10"/>
      <color theme="0"/>
      <name val="Tahoma"/>
      <family val="2"/>
      <scheme val="major"/>
    </font>
    <font>
      <sz val="10"/>
      <color theme="1"/>
      <name val="Tahoma"/>
      <family val="2"/>
      <scheme val="major"/>
    </font>
    <font>
      <sz val="10"/>
      <name val="Tahoma"/>
      <family val="2"/>
      <scheme val="major"/>
    </font>
    <font>
      <sz val="10"/>
      <color rgb="FF000000"/>
      <name val="Tahoma"/>
      <family val="2"/>
      <scheme val="major"/>
    </font>
    <font>
      <b/>
      <sz val="10"/>
      <color theme="0"/>
      <name val="Tahoma"/>
      <family val="2"/>
      <scheme val="major"/>
    </font>
    <font>
      <b/>
      <sz val="10"/>
      <color theme="1"/>
      <name val="Tahoma"/>
      <family val="2"/>
      <scheme val="major"/>
    </font>
    <font>
      <b/>
      <sz val="10"/>
      <name val="Tahoma"/>
      <family val="2"/>
      <scheme val="major"/>
    </font>
    <font>
      <b/>
      <sz val="10"/>
      <color rgb="FF002060"/>
      <name val="Tahoma"/>
      <family val="2"/>
      <scheme val="major"/>
    </font>
    <font>
      <sz val="10"/>
      <color rgb="FF00B0F0"/>
      <name val="Tahoma"/>
      <family val="2"/>
      <scheme val="major"/>
    </font>
    <font>
      <b/>
      <sz val="10"/>
      <color theme="1"/>
      <name val="TH Sarabun New"/>
      <family val="2"/>
    </font>
    <font>
      <sz val="10"/>
      <color rgb="FF374151"/>
      <name val="Tahoma"/>
      <family val="2"/>
      <scheme val="minor"/>
    </font>
    <font>
      <u/>
      <sz val="10"/>
      <name val="Tahoma"/>
      <family val="2"/>
      <scheme val="major"/>
    </font>
    <font>
      <sz val="10"/>
      <color rgb="FF002060"/>
      <name val="Tahoma"/>
      <family val="2"/>
      <scheme val="major"/>
    </font>
    <font>
      <sz val="22"/>
      <color theme="1"/>
      <name val="Tahoma"/>
      <family val="2"/>
      <scheme val="minor"/>
    </font>
    <font>
      <sz val="22"/>
      <color rgb="FFC00000"/>
      <name val="Tahoma"/>
      <family val="2"/>
      <scheme val="minor"/>
    </font>
    <font>
      <sz val="10"/>
      <color theme="4" tint="0.39997558519241921"/>
      <name val="Tahoma"/>
      <family val="2"/>
      <scheme val="minor"/>
    </font>
    <font>
      <sz val="10"/>
      <color rgb="FFFF0000"/>
      <name val="Tahoma"/>
      <family val="2"/>
      <scheme val="major"/>
    </font>
    <font>
      <sz val="16"/>
      <color theme="1"/>
      <name val="Tahoma"/>
      <family val="2"/>
      <scheme val="minor"/>
    </font>
    <font>
      <b/>
      <u/>
      <sz val="10"/>
      <name val="Tahoma"/>
      <family val="2"/>
      <scheme val="minor"/>
    </font>
    <font>
      <b/>
      <sz val="14"/>
      <color theme="0"/>
      <name val="Tahoma"/>
      <family val="2"/>
      <scheme val="minor"/>
    </font>
    <font>
      <sz val="10"/>
      <color theme="1" tint="0.34998626667073579"/>
      <name val="Tahoma"/>
      <family val="2"/>
      <scheme val="minor"/>
    </font>
    <font>
      <i/>
      <sz val="10"/>
      <color theme="1" tint="0.34998626667073579"/>
      <name val="Tahoma"/>
      <family val="2"/>
      <scheme val="minor"/>
    </font>
    <font>
      <b/>
      <u/>
      <sz val="10"/>
      <color theme="1" tint="0.34998626667073579"/>
      <name val="Tahoma"/>
      <family val="2"/>
      <scheme val="minor"/>
    </font>
    <font>
      <b/>
      <sz val="10"/>
      <color theme="1" tint="0.34998626667073579"/>
      <name val="Tahoma"/>
      <family val="2"/>
      <scheme val="minor"/>
    </font>
    <font>
      <b/>
      <i/>
      <sz val="10"/>
      <color theme="1" tint="0.34998626667073579"/>
      <name val="Tahoma"/>
      <family val="2"/>
      <scheme val="minor"/>
    </font>
    <font>
      <sz val="8"/>
      <color theme="1" tint="0.34998626667073579"/>
      <name val="Tahoma"/>
      <family val="2"/>
      <scheme val="minor"/>
    </font>
    <font>
      <b/>
      <sz val="10"/>
      <color rgb="FFC00000"/>
      <name val="Tahoma"/>
      <family val="2"/>
      <scheme val="minor"/>
    </font>
    <font>
      <b/>
      <u/>
      <sz val="10"/>
      <color rgb="FFFF0000"/>
      <name val="Tahoma"/>
      <family val="2"/>
      <scheme val="minor"/>
    </font>
    <font>
      <b/>
      <sz val="11"/>
      <color rgb="FFFF0000"/>
      <name val="Tahoma"/>
      <family val="2"/>
      <scheme val="minor"/>
    </font>
    <font>
      <strike/>
      <sz val="10"/>
      <name val="Tahoma"/>
      <family val="2"/>
      <scheme val="major"/>
    </font>
    <font>
      <b/>
      <u/>
      <sz val="10"/>
      <name val="Tahoma"/>
      <family val="2"/>
      <scheme val="major"/>
    </font>
    <font>
      <vertAlign val="superscript"/>
      <sz val="10"/>
      <color theme="1"/>
      <name val="Tahoma"/>
      <family val="2"/>
      <scheme val="minor"/>
    </font>
    <font>
      <b/>
      <sz val="11"/>
      <color theme="1"/>
      <name val="Tahoma"/>
      <family val="2"/>
      <scheme val="major"/>
    </font>
    <font>
      <sz val="11"/>
      <name val="Tahoma"/>
      <family val="2"/>
      <scheme val="major"/>
    </font>
    <font>
      <b/>
      <sz val="10"/>
      <color rgb="FFFFE5E6"/>
      <name val="Tahoma"/>
      <family val="2"/>
      <scheme val="minor"/>
    </font>
    <font>
      <b/>
      <sz val="10"/>
      <color rgb="FF379683"/>
      <name val="Tahoma"/>
      <family val="2"/>
      <scheme val="minor"/>
    </font>
    <font>
      <b/>
      <sz val="10"/>
      <color rgb="FF99FF99"/>
      <name val="Tahoma"/>
      <family val="2"/>
      <scheme val="minor"/>
    </font>
  </fonts>
  <fills count="50">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theme="4" tint="-0.249977111117893"/>
        <bgColor indexed="64"/>
      </patternFill>
    </fill>
    <fill>
      <patternFill patternType="solid">
        <fgColor theme="4" tint="0.59999389629810485"/>
        <bgColor indexed="64"/>
      </patternFill>
    </fill>
    <fill>
      <patternFill patternType="solid">
        <fgColor theme="0" tint="-0.249977111117893"/>
        <bgColor indexed="64"/>
      </patternFill>
    </fill>
    <fill>
      <patternFill patternType="solid">
        <fgColor theme="5" tint="0.39997558519241921"/>
        <bgColor indexed="64"/>
      </patternFill>
    </fill>
    <fill>
      <patternFill patternType="solid">
        <fgColor theme="8"/>
        <bgColor indexed="64"/>
      </patternFill>
    </fill>
    <fill>
      <patternFill patternType="solid">
        <fgColor theme="8" tint="0.79998168889431442"/>
        <bgColor indexed="64"/>
      </patternFill>
    </fill>
    <fill>
      <patternFill patternType="solid">
        <fgColor theme="2" tint="-9.9978637043366805E-2"/>
        <bgColor indexed="64"/>
      </patternFill>
    </fill>
    <fill>
      <patternFill patternType="solid">
        <fgColor rgb="FF002060"/>
        <bgColor indexed="64"/>
      </patternFill>
    </fill>
    <fill>
      <patternFill patternType="solid">
        <fgColor theme="0"/>
        <bgColor rgb="FF000000"/>
      </patternFill>
    </fill>
    <fill>
      <patternFill patternType="solid">
        <fgColor theme="8" tint="0.79998168889431442"/>
        <bgColor rgb="FF000000"/>
      </patternFill>
    </fill>
    <fill>
      <patternFill patternType="solid">
        <fgColor theme="4" tint="-0.499984740745262"/>
        <bgColor indexed="64"/>
      </patternFill>
    </fill>
    <fill>
      <patternFill patternType="solid">
        <fgColor theme="3" tint="-0.499984740745262"/>
        <bgColor indexed="64"/>
      </patternFill>
    </fill>
    <fill>
      <patternFill patternType="solid">
        <fgColor theme="7" tint="0.79998168889431442"/>
        <bgColor indexed="64"/>
      </patternFill>
    </fill>
    <fill>
      <patternFill patternType="solid">
        <fgColor theme="1"/>
        <bgColor indexed="64"/>
      </patternFill>
    </fill>
    <fill>
      <patternFill patternType="solid">
        <fgColor theme="9" tint="-0.499984740745262"/>
        <bgColor indexed="64"/>
      </patternFill>
    </fill>
    <fill>
      <patternFill patternType="solid">
        <fgColor theme="9" tint="-0.249977111117893"/>
        <bgColor indexed="64"/>
      </patternFill>
    </fill>
    <fill>
      <patternFill patternType="solid">
        <fgColor theme="7" tint="0.39997558519241921"/>
        <bgColor indexed="64"/>
      </patternFill>
    </fill>
    <fill>
      <patternFill patternType="solid">
        <fgColor rgb="FFFFC000"/>
        <bgColor indexed="64"/>
      </patternFill>
    </fill>
    <fill>
      <patternFill patternType="solid">
        <fgColor rgb="FF1A968D"/>
        <bgColor indexed="64"/>
      </patternFill>
    </fill>
    <fill>
      <patternFill patternType="solid">
        <fgColor rgb="FF92D050"/>
        <bgColor indexed="64"/>
      </patternFill>
    </fill>
    <fill>
      <patternFill patternType="solid">
        <fgColor theme="0" tint="-0.499984740745262"/>
        <bgColor indexed="64"/>
      </patternFill>
    </fill>
    <fill>
      <patternFill patternType="solid">
        <fgColor rgb="FFFF0000"/>
        <bgColor indexed="64"/>
      </patternFill>
    </fill>
    <fill>
      <patternFill patternType="solid">
        <fgColor rgb="FF00B050"/>
        <bgColor indexed="64"/>
      </patternFill>
    </fill>
    <fill>
      <patternFill patternType="solid">
        <fgColor rgb="FF00B0F0"/>
        <bgColor indexed="64"/>
      </patternFill>
    </fill>
    <fill>
      <patternFill patternType="solid">
        <fgColor theme="1" tint="0.499984740745262"/>
        <bgColor indexed="64"/>
      </patternFill>
    </fill>
    <fill>
      <patternFill patternType="solid">
        <fgColor rgb="FFFFF2CC"/>
        <bgColor indexed="64"/>
      </patternFill>
    </fill>
    <fill>
      <patternFill patternType="solid">
        <fgColor theme="2"/>
        <bgColor indexed="64"/>
      </patternFill>
    </fill>
    <fill>
      <patternFill patternType="solid">
        <fgColor theme="9" tint="0.79998168889431442"/>
        <bgColor indexed="64"/>
      </patternFill>
    </fill>
    <fill>
      <patternFill patternType="solid">
        <fgColor theme="8" tint="-0.499984740745262"/>
        <bgColor theme="4"/>
      </patternFill>
    </fill>
    <fill>
      <patternFill patternType="solid">
        <fgColor theme="4" tint="0.39997558519241921"/>
        <bgColor indexed="64"/>
      </patternFill>
    </fill>
    <fill>
      <patternFill patternType="solid">
        <fgColor rgb="FFF9F9F9"/>
        <bgColor indexed="64"/>
      </patternFill>
    </fill>
    <fill>
      <patternFill patternType="solid">
        <fgColor rgb="FFFFB3B5"/>
        <bgColor rgb="FF000000"/>
      </patternFill>
    </fill>
    <fill>
      <patternFill patternType="solid">
        <fgColor rgb="FFFBF49E"/>
        <bgColor indexed="64"/>
      </patternFill>
    </fill>
    <fill>
      <patternFill patternType="solid">
        <fgColor rgb="FF4CB2DF"/>
        <bgColor indexed="64"/>
      </patternFill>
    </fill>
    <fill>
      <patternFill patternType="solid">
        <fgColor rgb="FF9292E9"/>
        <bgColor indexed="64"/>
      </patternFill>
    </fill>
    <fill>
      <patternFill patternType="solid">
        <fgColor rgb="FFFAB645"/>
        <bgColor indexed="64"/>
      </patternFill>
    </fill>
    <fill>
      <patternFill patternType="solid">
        <fgColor rgb="FFF97367"/>
        <bgColor indexed="64"/>
      </patternFill>
    </fill>
    <fill>
      <patternFill patternType="solid">
        <fgColor rgb="FF7DF6A2"/>
        <bgColor indexed="64"/>
      </patternFill>
    </fill>
    <fill>
      <patternFill patternType="solid">
        <fgColor rgb="FFFFE5E6"/>
        <bgColor indexed="64"/>
      </patternFill>
    </fill>
    <fill>
      <patternFill patternType="solid">
        <fgColor rgb="FFFFFFCC"/>
        <bgColor indexed="64"/>
      </patternFill>
    </fill>
    <fill>
      <patternFill patternType="solid">
        <fgColor theme="2" tint="-0.249977111117893"/>
        <bgColor indexed="64"/>
      </patternFill>
    </fill>
    <fill>
      <patternFill patternType="solid">
        <fgColor rgb="FFB2F7EF"/>
        <bgColor indexed="64"/>
      </patternFill>
    </fill>
    <fill>
      <patternFill patternType="solid">
        <fgColor rgb="FF379683"/>
        <bgColor indexed="64"/>
      </patternFill>
    </fill>
    <fill>
      <patternFill patternType="solid">
        <fgColor theme="9"/>
        <bgColor indexed="64"/>
      </patternFill>
    </fill>
    <fill>
      <patternFill patternType="solid">
        <fgColor rgb="FFE0FFCC"/>
        <bgColor indexed="64"/>
      </patternFill>
    </fill>
  </fills>
  <borders count="61">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style="thin">
        <color indexed="64"/>
      </right>
      <top/>
      <bottom/>
      <diagonal/>
    </border>
    <border>
      <left style="medium">
        <color indexed="64"/>
      </left>
      <right/>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bottom/>
      <diagonal/>
    </border>
    <border>
      <left/>
      <right style="medium">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s>
  <cellStyleXfs count="3">
    <xf numFmtId="0" fontId="0" fillId="0" borderId="0"/>
    <xf numFmtId="43" fontId="20" fillId="0" borderId="0" applyFont="0" applyFill="0" applyBorder="0" applyAlignment="0" applyProtection="0"/>
    <xf numFmtId="9" fontId="20" fillId="0" borderId="0" applyFont="0" applyFill="0" applyBorder="0" applyAlignment="0" applyProtection="0"/>
  </cellStyleXfs>
  <cellXfs count="770">
    <xf numFmtId="0" fontId="0" fillId="0" borderId="0" xfId="0"/>
    <xf numFmtId="1" fontId="12" fillId="2" borderId="11" xfId="0" applyNumberFormat="1" applyFont="1" applyFill="1" applyBorder="1" applyAlignment="1" applyProtection="1">
      <alignment horizontal="center" vertical="top"/>
      <protection hidden="1"/>
    </xf>
    <xf numFmtId="0" fontId="39" fillId="24" borderId="6" xfId="0" applyFont="1" applyFill="1" applyBorder="1" applyAlignment="1" applyProtection="1">
      <alignment horizontal="center" vertical="center" wrapText="1"/>
      <protection locked="0"/>
    </xf>
    <xf numFmtId="1" fontId="2" fillId="34" borderId="13" xfId="0" applyNumberFormat="1" applyFont="1" applyFill="1" applyBorder="1" applyAlignment="1" applyProtection="1">
      <alignment horizontal="center" vertical="top"/>
      <protection hidden="1"/>
    </xf>
    <xf numFmtId="0" fontId="2" fillId="34" borderId="21" xfId="0" applyFont="1" applyFill="1" applyBorder="1" applyAlignment="1" applyProtection="1">
      <alignment horizontal="center" vertical="top"/>
      <protection hidden="1"/>
    </xf>
    <xf numFmtId="1" fontId="2" fillId="34" borderId="21" xfId="0" applyNumberFormat="1" applyFont="1" applyFill="1" applyBorder="1" applyAlignment="1" applyProtection="1">
      <alignment horizontal="center" vertical="top"/>
      <protection hidden="1"/>
    </xf>
    <xf numFmtId="1" fontId="12" fillId="10" borderId="11" xfId="0" applyNumberFormat="1" applyFont="1" applyFill="1" applyBorder="1" applyAlignment="1" applyProtection="1">
      <alignment horizontal="center" vertical="top"/>
      <protection hidden="1"/>
    </xf>
    <xf numFmtId="1" fontId="12" fillId="10" borderId="12" xfId="0" applyNumberFormat="1" applyFont="1" applyFill="1" applyBorder="1" applyAlignment="1" applyProtection="1">
      <alignment horizontal="center" vertical="top"/>
      <protection hidden="1"/>
    </xf>
    <xf numFmtId="0" fontId="2" fillId="10" borderId="10" xfId="0" applyFont="1" applyFill="1" applyBorder="1" applyAlignment="1" applyProtection="1">
      <alignment horizontal="center" vertical="top"/>
      <protection hidden="1"/>
    </xf>
    <xf numFmtId="0" fontId="2" fillId="10" borderId="21" xfId="0" applyFont="1" applyFill="1" applyBorder="1" applyAlignment="1" applyProtection="1">
      <alignment horizontal="center" vertical="top"/>
      <protection hidden="1"/>
    </xf>
    <xf numFmtId="1" fontId="2" fillId="10" borderId="21" xfId="0" applyNumberFormat="1" applyFont="1" applyFill="1" applyBorder="1" applyAlignment="1" applyProtection="1">
      <alignment horizontal="center" vertical="top"/>
      <protection hidden="1"/>
    </xf>
    <xf numFmtId="0" fontId="2" fillId="10" borderId="6" xfId="0" applyFont="1" applyFill="1" applyBorder="1" applyAlignment="1" applyProtection="1">
      <alignment horizontal="center" vertical="top"/>
      <protection hidden="1"/>
    </xf>
    <xf numFmtId="0" fontId="2" fillId="31" borderId="10" xfId="0" applyFont="1" applyFill="1" applyBorder="1" applyAlignment="1" applyProtection="1">
      <alignment horizontal="center" vertical="top"/>
      <protection hidden="1"/>
    </xf>
    <xf numFmtId="0" fontId="2" fillId="31" borderId="21" xfId="0" applyFont="1" applyFill="1" applyBorder="1" applyAlignment="1" applyProtection="1">
      <alignment horizontal="center" vertical="top"/>
      <protection hidden="1"/>
    </xf>
    <xf numFmtId="0" fontId="2" fillId="31" borderId="6" xfId="0" applyFont="1" applyFill="1" applyBorder="1" applyAlignment="1" applyProtection="1">
      <alignment horizontal="center" vertical="top"/>
      <protection hidden="1"/>
    </xf>
    <xf numFmtId="0" fontId="2" fillId="0" borderId="0" xfId="0" applyFont="1"/>
    <xf numFmtId="43" fontId="43" fillId="21" borderId="22" xfId="1" applyFont="1" applyFill="1" applyBorder="1" applyAlignment="1" applyProtection="1">
      <alignment horizontal="center" vertical="center" wrapText="1"/>
    </xf>
    <xf numFmtId="0" fontId="2" fillId="10" borderId="0" xfId="0" applyFont="1" applyFill="1"/>
    <xf numFmtId="0" fontId="2" fillId="10" borderId="0" xfId="0" quotePrefix="1" applyFont="1" applyFill="1"/>
    <xf numFmtId="0" fontId="12" fillId="17" borderId="0" xfId="0" applyFont="1" applyFill="1"/>
    <xf numFmtId="0" fontId="12" fillId="32" borderId="0" xfId="0" applyFont="1" applyFill="1"/>
    <xf numFmtId="0" fontId="2" fillId="32" borderId="0" xfId="0" applyFont="1" applyFill="1"/>
    <xf numFmtId="0" fontId="44" fillId="0" borderId="0" xfId="0" applyFont="1"/>
    <xf numFmtId="0" fontId="1" fillId="9" borderId="0" xfId="0" applyFont="1" applyFill="1"/>
    <xf numFmtId="0" fontId="1" fillId="0" borderId="0" xfId="0" applyFont="1"/>
    <xf numFmtId="0" fontId="4" fillId="8" borderId="0" xfId="0" applyFont="1" applyFill="1"/>
    <xf numFmtId="0" fontId="0" fillId="0" borderId="0" xfId="0" applyAlignment="1">
      <alignment horizontal="left"/>
    </xf>
    <xf numFmtId="0" fontId="4" fillId="0" borderId="0" xfId="0" applyFont="1"/>
    <xf numFmtId="0" fontId="5" fillId="0" borderId="0" xfId="0" applyFont="1" applyAlignment="1">
      <alignment horizontal="left"/>
    </xf>
    <xf numFmtId="0" fontId="35" fillId="0" borderId="0" xfId="0" applyFont="1" applyAlignment="1">
      <alignment horizontal="center"/>
    </xf>
    <xf numFmtId="49" fontId="38" fillId="12" borderId="6" xfId="0" applyNumberFormat="1" applyFont="1" applyFill="1" applyBorder="1" applyAlignment="1">
      <alignment horizontal="left" vertical="top"/>
    </xf>
    <xf numFmtId="0" fontId="41" fillId="12" borderId="6" xfId="0" applyFont="1" applyFill="1" applyBorder="1" applyAlignment="1">
      <alignment horizontal="left" vertical="center"/>
    </xf>
    <xf numFmtId="0" fontId="35" fillId="0" borderId="0" xfId="0" applyFont="1"/>
    <xf numFmtId="0" fontId="35" fillId="0" borderId="0" xfId="0" applyFont="1" applyAlignment="1">
      <alignment horizontal="left"/>
    </xf>
    <xf numFmtId="0" fontId="39" fillId="12" borderId="6" xfId="0" applyFont="1" applyFill="1" applyBorder="1" applyAlignment="1">
      <alignment horizontal="center" vertical="center" wrapText="1"/>
    </xf>
    <xf numFmtId="0" fontId="39" fillId="23" borderId="6" xfId="0" applyFont="1" applyFill="1" applyBorder="1" applyAlignment="1">
      <alignment horizontal="center" vertical="center" wrapText="1"/>
    </xf>
    <xf numFmtId="49" fontId="38" fillId="23" borderId="6" xfId="0" applyNumberFormat="1" applyFont="1" applyFill="1" applyBorder="1" applyAlignment="1">
      <alignment horizontal="left" vertical="top"/>
    </xf>
    <xf numFmtId="0" fontId="39" fillId="24" borderId="6" xfId="0" applyFont="1" applyFill="1" applyBorder="1" applyAlignment="1">
      <alignment horizontal="center" vertical="center" wrapText="1"/>
    </xf>
    <xf numFmtId="49" fontId="39" fillId="24" borderId="6" xfId="0" applyNumberFormat="1" applyFont="1" applyFill="1" applyBorder="1" applyAlignment="1">
      <alignment horizontal="left" vertical="top"/>
    </xf>
    <xf numFmtId="49" fontId="35" fillId="24" borderId="6" xfId="0" applyNumberFormat="1" applyFont="1" applyFill="1" applyBorder="1" applyAlignment="1">
      <alignment horizontal="left"/>
    </xf>
    <xf numFmtId="0" fontId="35" fillId="24" borderId="10" xfId="0" applyFont="1" applyFill="1" applyBorder="1" applyAlignment="1">
      <alignment horizontal="left"/>
    </xf>
    <xf numFmtId="0" fontId="39" fillId="12" borderId="6" xfId="0" applyFont="1" applyFill="1" applyBorder="1" applyAlignment="1">
      <alignment horizontal="left" vertical="center" wrapText="1"/>
    </xf>
    <xf numFmtId="0" fontId="39" fillId="23" borderId="6" xfId="0" applyFont="1" applyFill="1" applyBorder="1" applyAlignment="1">
      <alignment horizontal="left" vertical="center" wrapText="1"/>
    </xf>
    <xf numFmtId="0" fontId="39" fillId="2" borderId="0" xfId="0" applyFont="1" applyFill="1" applyAlignment="1">
      <alignment horizontal="left" vertical="center" wrapText="1"/>
    </xf>
    <xf numFmtId="0" fontId="39" fillId="12" borderId="15" xfId="0" applyFont="1" applyFill="1" applyBorder="1" applyAlignment="1">
      <alignment horizontal="left" vertical="center" wrapText="1"/>
    </xf>
    <xf numFmtId="49" fontId="35" fillId="12" borderId="6" xfId="0" applyNumberFormat="1" applyFont="1" applyFill="1" applyBorder="1" applyAlignment="1">
      <alignment horizontal="left"/>
    </xf>
    <xf numFmtId="0" fontId="35" fillId="12" borderId="10" xfId="0" applyFont="1" applyFill="1" applyBorder="1" applyAlignment="1">
      <alignment horizontal="left"/>
    </xf>
    <xf numFmtId="0" fontId="40" fillId="12" borderId="6" xfId="0" applyFont="1" applyFill="1" applyBorder="1" applyAlignment="1">
      <alignment horizontal="left" vertical="center" wrapText="1"/>
    </xf>
    <xf numFmtId="0" fontId="41" fillId="12" borderId="15" xfId="0" applyFont="1" applyFill="1" applyBorder="1" applyAlignment="1">
      <alignment horizontal="left" vertical="center"/>
    </xf>
    <xf numFmtId="0" fontId="39" fillId="23" borderId="15" xfId="0" applyFont="1" applyFill="1" applyBorder="1" applyAlignment="1">
      <alignment horizontal="left" vertical="center" wrapText="1"/>
    </xf>
    <xf numFmtId="49" fontId="35" fillId="23" borderId="6" xfId="0" applyNumberFormat="1" applyFont="1" applyFill="1" applyBorder="1" applyAlignment="1">
      <alignment horizontal="left"/>
    </xf>
    <xf numFmtId="0" fontId="35" fillId="23" borderId="10" xfId="0" applyFont="1" applyFill="1" applyBorder="1" applyAlignment="1">
      <alignment horizontal="left"/>
    </xf>
    <xf numFmtId="0" fontId="40" fillId="23" borderId="6" xfId="0" applyFont="1" applyFill="1" applyBorder="1" applyAlignment="1">
      <alignment horizontal="left" vertical="center" wrapText="1"/>
    </xf>
    <xf numFmtId="0" fontId="39" fillId="23" borderId="12" xfId="0" applyFont="1" applyFill="1" applyBorder="1" applyAlignment="1">
      <alignment horizontal="left" vertical="center" wrapText="1"/>
    </xf>
    <xf numFmtId="0" fontId="39" fillId="24" borderId="6" xfId="0" applyFont="1" applyFill="1" applyBorder="1" applyAlignment="1">
      <alignment horizontal="left" vertical="center" wrapText="1"/>
    </xf>
    <xf numFmtId="0" fontId="39" fillId="24" borderId="15" xfId="0" applyFont="1" applyFill="1" applyBorder="1" applyAlignment="1">
      <alignment horizontal="left" vertical="center" wrapText="1"/>
    </xf>
    <xf numFmtId="0" fontId="40" fillId="24" borderId="6" xfId="0" applyFont="1" applyFill="1" applyBorder="1" applyAlignment="1">
      <alignment horizontal="left" vertical="center" wrapText="1"/>
    </xf>
    <xf numFmtId="0" fontId="39" fillId="24" borderId="6" xfId="0" applyFont="1" applyFill="1" applyBorder="1" applyAlignment="1">
      <alignment horizontal="left" vertical="center"/>
    </xf>
    <xf numFmtId="0" fontId="39" fillId="24" borderId="15" xfId="0" applyFont="1" applyFill="1" applyBorder="1" applyAlignment="1">
      <alignment horizontal="left" vertical="center"/>
    </xf>
    <xf numFmtId="0" fontId="35" fillId="2" borderId="0" xfId="0" applyFont="1" applyFill="1" applyAlignment="1">
      <alignment horizontal="left"/>
    </xf>
    <xf numFmtId="0" fontId="39" fillId="23" borderId="6" xfId="0" quotePrefix="1" applyFont="1" applyFill="1" applyBorder="1" applyAlignment="1">
      <alignment horizontal="left" vertical="center" wrapText="1"/>
    </xf>
    <xf numFmtId="49" fontId="35" fillId="24" borderId="6" xfId="0" applyNumberFormat="1" applyFont="1" applyFill="1" applyBorder="1" applyAlignment="1">
      <alignment horizontal="left" vertical="top" wrapText="1"/>
    </xf>
    <xf numFmtId="49" fontId="35" fillId="24" borderId="10" xfId="0" applyNumberFormat="1" applyFont="1" applyFill="1" applyBorder="1" applyAlignment="1">
      <alignment horizontal="left" vertical="top" wrapText="1"/>
    </xf>
    <xf numFmtId="0" fontId="39" fillId="23" borderId="6" xfId="0" applyFont="1" applyFill="1" applyBorder="1" applyAlignment="1" applyProtection="1">
      <alignment horizontal="center" vertical="center" wrapText="1"/>
      <protection locked="0"/>
    </xf>
    <xf numFmtId="1" fontId="12" fillId="2" borderId="12" xfId="0" applyNumberFormat="1" applyFont="1" applyFill="1" applyBorder="1" applyAlignment="1" applyProtection="1">
      <alignment horizontal="center" vertical="top"/>
      <protection hidden="1"/>
    </xf>
    <xf numFmtId="0" fontId="2" fillId="2" borderId="0" xfId="0" applyFont="1" applyFill="1" applyAlignment="1" applyProtection="1">
      <alignment vertical="top"/>
      <protection hidden="1"/>
    </xf>
    <xf numFmtId="49" fontId="2" fillId="17" borderId="6" xfId="0" applyNumberFormat="1" applyFont="1" applyFill="1" applyBorder="1" applyAlignment="1" applyProtection="1">
      <alignment horizontal="center" vertical="top"/>
      <protection locked="0" hidden="1"/>
    </xf>
    <xf numFmtId="190" fontId="12" fillId="17" borderId="6" xfId="0" applyNumberFormat="1" applyFont="1" applyFill="1" applyBorder="1" applyAlignment="1" applyProtection="1">
      <alignment horizontal="center" vertical="top"/>
      <protection locked="0" hidden="1"/>
    </xf>
    <xf numFmtId="0" fontId="12" fillId="2" borderId="0" xfId="0" applyFont="1" applyFill="1" applyAlignment="1" applyProtection="1">
      <alignment vertical="top"/>
      <protection hidden="1"/>
    </xf>
    <xf numFmtId="0" fontId="2" fillId="2" borderId="0" xfId="0" applyFont="1" applyFill="1" applyAlignment="1" applyProtection="1">
      <alignment horizontal="left" vertical="top"/>
      <protection hidden="1"/>
    </xf>
    <xf numFmtId="0" fontId="2" fillId="2" borderId="0" xfId="0" applyFont="1" applyFill="1" applyAlignment="1" applyProtection="1">
      <alignment horizontal="left" vertical="top" indent="2"/>
      <protection hidden="1"/>
    </xf>
    <xf numFmtId="0" fontId="11" fillId="2" borderId="0" xfId="0" applyFont="1" applyFill="1" applyAlignment="1" applyProtection="1">
      <alignment vertical="top" wrapText="1"/>
      <protection hidden="1"/>
    </xf>
    <xf numFmtId="0" fontId="0" fillId="2" borderId="0" xfId="0" applyFill="1" applyProtection="1">
      <protection hidden="1"/>
    </xf>
    <xf numFmtId="0" fontId="11" fillId="2" borderId="0" xfId="0" applyFont="1" applyFill="1" applyAlignment="1" applyProtection="1">
      <alignment horizontal="left" vertical="top" wrapText="1"/>
      <protection hidden="1"/>
    </xf>
    <xf numFmtId="0" fontId="2" fillId="2" borderId="0" xfId="0" applyFont="1" applyFill="1" applyAlignment="1" applyProtection="1">
      <alignment horizontal="left" vertical="top" indent="9"/>
      <protection hidden="1"/>
    </xf>
    <xf numFmtId="0" fontId="2" fillId="2" borderId="0" xfId="0" applyFont="1" applyFill="1" applyAlignment="1" applyProtection="1">
      <alignment horizontal="left" vertical="top" indent="4"/>
      <protection hidden="1"/>
    </xf>
    <xf numFmtId="0" fontId="2" fillId="2" borderId="0" xfId="0" applyFont="1" applyFill="1" applyAlignment="1" applyProtection="1">
      <alignment horizontal="right" vertical="top"/>
      <protection hidden="1"/>
    </xf>
    <xf numFmtId="0" fontId="2" fillId="2" borderId="0" xfId="0" applyFont="1" applyFill="1" applyAlignment="1" applyProtection="1">
      <alignment vertical="top" wrapText="1"/>
      <protection hidden="1"/>
    </xf>
    <xf numFmtId="0" fontId="4" fillId="2" borderId="0" xfId="0" applyFont="1" applyFill="1" applyAlignment="1" applyProtection="1">
      <alignment vertical="top"/>
      <protection hidden="1"/>
    </xf>
    <xf numFmtId="0" fontId="7" fillId="5" borderId="1" xfId="0" applyFont="1" applyFill="1" applyBorder="1" applyAlignment="1" applyProtection="1">
      <alignment vertical="top"/>
      <protection hidden="1"/>
    </xf>
    <xf numFmtId="0" fontId="7" fillId="5" borderId="2" xfId="0" applyFont="1" applyFill="1" applyBorder="1" applyAlignment="1" applyProtection="1">
      <alignment vertical="top"/>
      <protection hidden="1"/>
    </xf>
    <xf numFmtId="0" fontId="7" fillId="5" borderId="3" xfId="0" applyFont="1" applyFill="1" applyBorder="1" applyAlignment="1" applyProtection="1">
      <alignment vertical="top"/>
      <protection hidden="1"/>
    </xf>
    <xf numFmtId="0" fontId="2" fillId="2" borderId="19" xfId="0" applyFont="1" applyFill="1" applyBorder="1" applyAlignment="1" applyProtection="1">
      <alignment horizontal="left" vertical="top"/>
      <protection hidden="1"/>
    </xf>
    <xf numFmtId="0" fontId="2" fillId="2" borderId="16" xfId="0" applyFont="1" applyFill="1" applyBorder="1" applyAlignment="1" applyProtection="1">
      <alignment horizontal="left" vertical="top" wrapText="1"/>
      <protection hidden="1"/>
    </xf>
    <xf numFmtId="0" fontId="2" fillId="2" borderId="27" xfId="0" applyFont="1" applyFill="1" applyBorder="1" applyAlignment="1" applyProtection="1">
      <alignment horizontal="left" vertical="top" wrapText="1"/>
      <protection hidden="1"/>
    </xf>
    <xf numFmtId="0" fontId="8" fillId="2" borderId="17" xfId="0" applyFont="1" applyFill="1" applyBorder="1" applyAlignment="1" applyProtection="1">
      <alignment horizontal="left" vertical="top"/>
      <protection hidden="1"/>
    </xf>
    <xf numFmtId="0" fontId="2" fillId="2" borderId="16" xfId="0" applyFont="1" applyFill="1" applyBorder="1" applyAlignment="1" applyProtection="1">
      <alignment vertical="top"/>
      <protection hidden="1"/>
    </xf>
    <xf numFmtId="0" fontId="6" fillId="2" borderId="16" xfId="0" applyFont="1" applyFill="1" applyBorder="1" applyAlignment="1" applyProtection="1">
      <alignment vertical="top"/>
      <protection hidden="1"/>
    </xf>
    <xf numFmtId="0" fontId="6" fillId="2" borderId="18" xfId="0" applyFont="1" applyFill="1" applyBorder="1" applyAlignment="1" applyProtection="1">
      <alignment vertical="top"/>
      <protection hidden="1"/>
    </xf>
    <xf numFmtId="0" fontId="2" fillId="2" borderId="14" xfId="0" applyFont="1" applyFill="1" applyBorder="1" applyAlignment="1" applyProtection="1">
      <alignment vertical="top"/>
      <protection hidden="1"/>
    </xf>
    <xf numFmtId="0" fontId="2" fillId="2" borderId="20" xfId="0" applyFont="1" applyFill="1" applyBorder="1" applyAlignment="1" applyProtection="1">
      <alignment vertical="top"/>
      <protection hidden="1"/>
    </xf>
    <xf numFmtId="0" fontId="2" fillId="2" borderId="24" xfId="0" applyFont="1" applyFill="1" applyBorder="1" applyAlignment="1" applyProtection="1">
      <alignment vertical="top"/>
      <protection hidden="1"/>
    </xf>
    <xf numFmtId="0" fontId="2" fillId="2" borderId="4" xfId="0" applyFont="1" applyFill="1" applyBorder="1" applyAlignment="1" applyProtection="1">
      <alignment horizontal="left" vertical="top" indent="1"/>
      <protection hidden="1"/>
    </xf>
    <xf numFmtId="0" fontId="2" fillId="2" borderId="24" xfId="0" applyFont="1" applyFill="1" applyBorder="1" applyAlignment="1" applyProtection="1">
      <alignment horizontal="left" vertical="top" indent="1"/>
      <protection hidden="1"/>
    </xf>
    <xf numFmtId="0" fontId="2" fillId="2" borderId="14" xfId="0" applyFont="1" applyFill="1" applyBorder="1" applyAlignment="1" applyProtection="1">
      <alignment horizontal="left" vertical="top" indent="1"/>
      <protection hidden="1"/>
    </xf>
    <xf numFmtId="190" fontId="12" fillId="17" borderId="6" xfId="0" applyNumberFormat="1" applyFont="1" applyFill="1" applyBorder="1" applyAlignment="1" applyProtection="1">
      <alignment horizontal="center" vertical="top"/>
      <protection hidden="1"/>
    </xf>
    <xf numFmtId="0" fontId="12" fillId="2" borderId="24" xfId="0" applyFont="1" applyFill="1" applyBorder="1" applyAlignment="1" applyProtection="1">
      <alignment vertical="top"/>
      <protection hidden="1"/>
    </xf>
    <xf numFmtId="0" fontId="2" fillId="2" borderId="4" xfId="0" applyFont="1" applyFill="1" applyBorder="1" applyAlignment="1" applyProtection="1">
      <alignment horizontal="left" vertical="top"/>
      <protection hidden="1"/>
    </xf>
    <xf numFmtId="0" fontId="11" fillId="2" borderId="5" xfId="0" applyFont="1" applyFill="1" applyBorder="1" applyAlignment="1" applyProtection="1">
      <alignment horizontal="left" vertical="top" wrapText="1"/>
      <protection hidden="1"/>
    </xf>
    <xf numFmtId="0" fontId="2" fillId="2" borderId="5" xfId="0" applyFont="1" applyFill="1" applyBorder="1" applyAlignment="1" applyProtection="1">
      <alignment vertical="top"/>
      <protection hidden="1"/>
    </xf>
    <xf numFmtId="0" fontId="2" fillId="2" borderId="14" xfId="0" applyFont="1" applyFill="1" applyBorder="1" applyAlignment="1" applyProtection="1">
      <alignment horizontal="left" vertical="top" wrapText="1" indent="1"/>
      <protection hidden="1"/>
    </xf>
    <xf numFmtId="0" fontId="2" fillId="2" borderId="7" xfId="0" applyFont="1" applyFill="1" applyBorder="1" applyAlignment="1" applyProtection="1">
      <alignment horizontal="right" vertical="top"/>
      <protection hidden="1"/>
    </xf>
    <xf numFmtId="0" fontId="2" fillId="2" borderId="8" xfId="0" applyFont="1" applyFill="1" applyBorder="1" applyAlignment="1" applyProtection="1">
      <alignment vertical="top"/>
      <protection hidden="1"/>
    </xf>
    <xf numFmtId="0" fontId="2" fillId="2" borderId="8" xfId="0" applyFont="1" applyFill="1" applyBorder="1" applyAlignment="1" applyProtection="1">
      <alignment horizontal="right" vertical="top"/>
      <protection hidden="1"/>
    </xf>
    <xf numFmtId="0" fontId="2" fillId="2" borderId="9" xfId="0" applyFont="1" applyFill="1" applyBorder="1" applyAlignment="1" applyProtection="1">
      <alignment horizontal="right" vertical="top"/>
      <protection hidden="1"/>
    </xf>
    <xf numFmtId="0" fontId="2" fillId="2" borderId="20" xfId="0" applyFont="1" applyFill="1" applyBorder="1" applyAlignment="1" applyProtection="1">
      <alignment horizontal="left" vertical="top"/>
      <protection hidden="1"/>
    </xf>
    <xf numFmtId="0" fontId="2" fillId="2" borderId="21" xfId="0" applyFont="1" applyFill="1" applyBorder="1" applyAlignment="1" applyProtection="1">
      <alignment vertical="top"/>
      <protection hidden="1"/>
    </xf>
    <xf numFmtId="0" fontId="8" fillId="2" borderId="1" xfId="0" applyFont="1" applyFill="1" applyBorder="1" applyAlignment="1" applyProtection="1">
      <alignment horizontal="left" vertical="top"/>
      <protection hidden="1"/>
    </xf>
    <xf numFmtId="0" fontId="2" fillId="2" borderId="2" xfId="0" applyFont="1" applyFill="1" applyBorder="1" applyAlignment="1" applyProtection="1">
      <alignment vertical="top"/>
      <protection hidden="1"/>
    </xf>
    <xf numFmtId="0" fontId="2" fillId="2" borderId="3" xfId="0" applyFont="1" applyFill="1" applyBorder="1" applyAlignment="1" applyProtection="1">
      <alignment vertical="top"/>
      <protection hidden="1"/>
    </xf>
    <xf numFmtId="0" fontId="2" fillId="2" borderId="4" xfId="0" applyFont="1" applyFill="1" applyBorder="1" applyAlignment="1" applyProtection="1">
      <alignment horizontal="left" vertical="top" indent="2"/>
      <protection hidden="1"/>
    </xf>
    <xf numFmtId="0" fontId="2" fillId="2" borderId="0" xfId="0" applyFont="1" applyFill="1" applyAlignment="1" applyProtection="1">
      <alignment horizontal="center" vertical="top"/>
      <protection hidden="1"/>
    </xf>
    <xf numFmtId="0" fontId="2" fillId="2" borderId="5" xfId="0" applyFont="1" applyFill="1" applyBorder="1" applyAlignment="1" applyProtection="1">
      <alignment horizontal="left" vertical="top"/>
      <protection hidden="1"/>
    </xf>
    <xf numFmtId="0" fontId="2" fillId="2" borderId="7" xfId="0" applyFont="1" applyFill="1" applyBorder="1" applyAlignment="1" applyProtection="1">
      <alignment vertical="top"/>
      <protection hidden="1"/>
    </xf>
    <xf numFmtId="0" fontId="2" fillId="2" borderId="9" xfId="0" applyFont="1" applyFill="1" applyBorder="1" applyAlignment="1" applyProtection="1">
      <alignment vertical="top"/>
      <protection hidden="1"/>
    </xf>
    <xf numFmtId="0" fontId="14" fillId="2" borderId="0" xfId="0" applyFont="1" applyFill="1" applyAlignment="1" applyProtection="1">
      <alignment vertical="top"/>
      <protection hidden="1"/>
    </xf>
    <xf numFmtId="0" fontId="2" fillId="6" borderId="6" xfId="0" applyFont="1" applyFill="1" applyBorder="1" applyAlignment="1" applyProtection="1">
      <alignment horizontal="center" vertical="top"/>
      <protection hidden="1"/>
    </xf>
    <xf numFmtId="0" fontId="2" fillId="6" borderId="6" xfId="0" applyFont="1" applyFill="1" applyBorder="1" applyAlignment="1" applyProtection="1">
      <alignment horizontal="center" vertical="top" wrapText="1"/>
      <protection hidden="1"/>
    </xf>
    <xf numFmtId="0" fontId="2" fillId="6" borderId="6" xfId="0" applyFont="1" applyFill="1" applyBorder="1" applyAlignment="1" applyProtection="1">
      <alignment horizontal="center" vertical="center" wrapText="1"/>
      <protection hidden="1"/>
    </xf>
    <xf numFmtId="49" fontId="12" fillId="3" borderId="6" xfId="0" applyNumberFormat="1" applyFont="1" applyFill="1" applyBorder="1" applyAlignment="1" applyProtection="1">
      <alignment horizontal="center" vertical="top" wrapText="1"/>
      <protection hidden="1"/>
    </xf>
    <xf numFmtId="49" fontId="12" fillId="3" borderId="6" xfId="0" applyNumberFormat="1" applyFont="1" applyFill="1" applyBorder="1" applyAlignment="1" applyProtection="1">
      <alignment horizontal="center" vertical="center" wrapText="1"/>
      <protection hidden="1"/>
    </xf>
    <xf numFmtId="49" fontId="12" fillId="3" borderId="6" xfId="0" quotePrefix="1" applyNumberFormat="1" applyFont="1" applyFill="1" applyBorder="1" applyAlignment="1" applyProtection="1">
      <alignment horizontal="center" vertical="top" wrapText="1"/>
      <protection hidden="1"/>
    </xf>
    <xf numFmtId="49" fontId="12" fillId="3" borderId="6" xfId="0" applyNumberFormat="1" applyFont="1" applyFill="1" applyBorder="1" applyAlignment="1" applyProtection="1">
      <alignment vertical="top" wrapText="1"/>
      <protection hidden="1"/>
    </xf>
    <xf numFmtId="0" fontId="9" fillId="2" borderId="0" xfId="0" applyFont="1" applyFill="1" applyAlignment="1" applyProtection="1">
      <alignment vertical="top"/>
      <protection hidden="1"/>
    </xf>
    <xf numFmtId="49" fontId="2" fillId="2" borderId="6" xfId="0" applyNumberFormat="1" applyFont="1" applyFill="1" applyBorder="1" applyAlignment="1" applyProtection="1">
      <alignment horizontal="center" vertical="top" wrapText="1"/>
      <protection hidden="1"/>
    </xf>
    <xf numFmtId="0" fontId="10" fillId="2" borderId="0" xfId="0" applyFont="1" applyFill="1" applyAlignment="1" applyProtection="1">
      <alignment vertical="top"/>
      <protection hidden="1"/>
    </xf>
    <xf numFmtId="0" fontId="2" fillId="2" borderId="6" xfId="0" applyFont="1" applyFill="1" applyBorder="1" applyAlignment="1" applyProtection="1">
      <alignment horizontal="center" vertical="top" wrapText="1"/>
      <protection hidden="1"/>
    </xf>
    <xf numFmtId="49" fontId="2" fillId="17" borderId="6" xfId="0" applyNumberFormat="1" applyFont="1" applyFill="1" applyBorder="1" applyAlignment="1" applyProtection="1">
      <alignment horizontal="left" vertical="top" wrapText="1"/>
      <protection locked="0" hidden="1"/>
    </xf>
    <xf numFmtId="49" fontId="2" fillId="17" borderId="6" xfId="0" applyNumberFormat="1" applyFont="1" applyFill="1" applyBorder="1" applyAlignment="1" applyProtection="1">
      <alignment horizontal="center" vertical="top" wrapText="1"/>
      <protection locked="0" hidden="1"/>
    </xf>
    <xf numFmtId="0" fontId="29" fillId="2" borderId="0" xfId="0" applyFont="1" applyFill="1" applyAlignment="1" applyProtection="1">
      <alignment vertical="center"/>
      <protection hidden="1"/>
    </xf>
    <xf numFmtId="0" fontId="54" fillId="2" borderId="28" xfId="0" applyFont="1" applyFill="1" applyBorder="1" applyAlignment="1" applyProtection="1">
      <alignment horizontal="left" vertical="top" indent="1"/>
      <protection hidden="1"/>
    </xf>
    <xf numFmtId="0" fontId="54" fillId="2" borderId="0" xfId="0" applyFont="1" applyFill="1" applyAlignment="1" applyProtection="1">
      <alignment vertical="top" wrapText="1"/>
      <protection hidden="1"/>
    </xf>
    <xf numFmtId="0" fontId="19" fillId="12" borderId="0" xfId="0" applyFont="1" applyFill="1" applyAlignment="1" applyProtection="1">
      <alignment vertical="top"/>
      <protection hidden="1"/>
    </xf>
    <xf numFmtId="0" fontId="4" fillId="12" borderId="0" xfId="0" applyFont="1" applyFill="1" applyAlignment="1" applyProtection="1">
      <alignment vertical="top"/>
      <protection hidden="1"/>
    </xf>
    <xf numFmtId="0" fontId="54" fillId="2" borderId="8" xfId="0" applyFont="1" applyFill="1" applyBorder="1" applyAlignment="1" applyProtection="1">
      <alignment horizontal="center" vertical="top"/>
      <protection hidden="1"/>
    </xf>
    <xf numFmtId="49" fontId="12" fillId="3" borderId="6" xfId="0" applyNumberFormat="1" applyFont="1" applyFill="1" applyBorder="1" applyAlignment="1" applyProtection="1">
      <alignment horizontal="left" vertical="top" wrapText="1"/>
      <protection hidden="1"/>
    </xf>
    <xf numFmtId="0" fontId="2" fillId="11" borderId="0" xfId="0" applyFont="1" applyFill="1"/>
    <xf numFmtId="0" fontId="31" fillId="2" borderId="1" xfId="0" applyFont="1" applyFill="1" applyBorder="1" applyAlignment="1" applyProtection="1">
      <alignment horizontal="center" vertical="center"/>
      <protection hidden="1"/>
    </xf>
    <xf numFmtId="0" fontId="32" fillId="2" borderId="3" xfId="0" applyFont="1" applyFill="1" applyBorder="1" applyAlignment="1" applyProtection="1">
      <alignment horizontal="center" vertical="center" wrapText="1"/>
      <protection hidden="1"/>
    </xf>
    <xf numFmtId="0" fontId="36" fillId="14" borderId="15" xfId="0" applyFont="1" applyFill="1" applyBorder="1" applyAlignment="1">
      <alignment horizontal="left" vertical="top" wrapText="1"/>
    </xf>
    <xf numFmtId="0" fontId="36" fillId="14" borderId="15" xfId="0" applyFont="1" applyFill="1" applyBorder="1" applyAlignment="1">
      <alignment vertical="top" wrapText="1"/>
    </xf>
    <xf numFmtId="0" fontId="36" fillId="14" borderId="6" xfId="0" applyFont="1" applyFill="1" applyBorder="1" applyAlignment="1">
      <alignment vertical="top" wrapText="1"/>
    </xf>
    <xf numFmtId="0" fontId="36" fillId="13" borderId="6" xfId="0" applyFont="1" applyFill="1" applyBorder="1" applyAlignment="1">
      <alignment horizontal="left" vertical="top" wrapText="1"/>
    </xf>
    <xf numFmtId="0" fontId="36" fillId="13" borderId="15" xfId="0" applyFont="1" applyFill="1" applyBorder="1" applyAlignment="1">
      <alignment vertical="top" wrapText="1"/>
    </xf>
    <xf numFmtId="0" fontId="36" fillId="13" borderId="6" xfId="0" applyFont="1" applyFill="1" applyBorder="1" applyAlignment="1">
      <alignment vertical="top" wrapText="1"/>
    </xf>
    <xf numFmtId="0" fontId="36" fillId="14" borderId="6" xfId="0" applyFont="1" applyFill="1" applyBorder="1" applyAlignment="1">
      <alignment horizontal="left" vertical="top" wrapText="1"/>
    </xf>
    <xf numFmtId="0" fontId="36" fillId="36" borderId="6" xfId="0" applyFont="1" applyFill="1" applyBorder="1" applyAlignment="1">
      <alignment horizontal="left" vertical="top" wrapText="1"/>
    </xf>
    <xf numFmtId="0" fontId="36" fillId="36" borderId="6" xfId="0" applyFont="1" applyFill="1" applyBorder="1" applyAlignment="1">
      <alignment vertical="top" wrapText="1"/>
    </xf>
    <xf numFmtId="0" fontId="7" fillId="16" borderId="0" xfId="0" applyFont="1" applyFill="1" applyAlignment="1" applyProtection="1">
      <alignment vertical="top"/>
      <protection hidden="1"/>
    </xf>
    <xf numFmtId="0" fontId="7" fillId="16" borderId="0" xfId="0" applyFont="1" applyFill="1" applyAlignment="1" applyProtection="1">
      <alignment horizontal="left" vertical="top"/>
      <protection hidden="1"/>
    </xf>
    <xf numFmtId="0" fontId="7" fillId="16" borderId="0" xfId="0" applyFont="1" applyFill="1" applyAlignment="1" applyProtection="1">
      <alignment horizontal="center" vertical="top"/>
      <protection hidden="1"/>
    </xf>
    <xf numFmtId="0" fontId="7" fillId="2" borderId="0" xfId="0" applyFont="1" applyFill="1" applyAlignment="1" applyProtection="1">
      <alignment vertical="top"/>
      <protection hidden="1"/>
    </xf>
    <xf numFmtId="0" fontId="2" fillId="2" borderId="0" xfId="0" applyFont="1" applyFill="1" applyProtection="1">
      <protection hidden="1"/>
    </xf>
    <xf numFmtId="0" fontId="2" fillId="2" borderId="0" xfId="0" applyFont="1" applyFill="1" applyAlignment="1" applyProtection="1">
      <alignment horizontal="left"/>
      <protection hidden="1"/>
    </xf>
    <xf numFmtId="0" fontId="12" fillId="2" borderId="0" xfId="0" applyFont="1" applyFill="1" applyAlignment="1" applyProtection="1">
      <alignment horizontal="left" vertical="top" wrapText="1"/>
      <protection hidden="1"/>
    </xf>
    <xf numFmtId="0" fontId="12" fillId="2" borderId="0" xfId="0" quotePrefix="1" applyFont="1" applyFill="1" applyAlignment="1" applyProtection="1">
      <alignment horizontal="left" vertical="top" wrapText="1"/>
      <protection hidden="1"/>
    </xf>
    <xf numFmtId="0" fontId="6" fillId="10" borderId="0" xfId="0" applyFont="1" applyFill="1" applyAlignment="1" applyProtection="1">
      <alignment horizontal="left" vertical="center"/>
      <protection hidden="1"/>
    </xf>
    <xf numFmtId="0" fontId="2" fillId="6" borderId="33" xfId="0" applyFont="1" applyFill="1" applyBorder="1" applyAlignment="1" applyProtection="1">
      <alignment horizontal="center" vertical="top"/>
      <protection hidden="1"/>
    </xf>
    <xf numFmtId="0" fontId="2" fillId="31" borderId="33" xfId="0" applyFont="1" applyFill="1" applyBorder="1" applyAlignment="1" applyProtection="1">
      <alignment horizontal="center" vertical="top"/>
      <protection hidden="1"/>
    </xf>
    <xf numFmtId="0" fontId="2" fillId="31" borderId="33" xfId="0" applyFont="1" applyFill="1" applyBorder="1" applyAlignment="1" applyProtection="1">
      <alignment horizontal="left" vertical="top"/>
      <protection hidden="1"/>
    </xf>
    <xf numFmtId="0" fontId="2" fillId="31" borderId="33" xfId="0" applyFont="1" applyFill="1" applyBorder="1" applyAlignment="1" applyProtection="1">
      <alignment horizontal="center" vertical="top" wrapText="1"/>
      <protection hidden="1"/>
    </xf>
    <xf numFmtId="0" fontId="2" fillId="2" borderId="33" xfId="0" applyFont="1" applyFill="1" applyBorder="1" applyAlignment="1" applyProtection="1">
      <alignment horizontal="center"/>
      <protection hidden="1"/>
    </xf>
    <xf numFmtId="0" fontId="2" fillId="2" borderId="14" xfId="0" applyFont="1" applyFill="1" applyBorder="1" applyAlignment="1" applyProtection="1">
      <alignment horizontal="center"/>
      <protection hidden="1"/>
    </xf>
    <xf numFmtId="0" fontId="17" fillId="2" borderId="0" xfId="0" applyFont="1" applyFill="1" applyAlignment="1" applyProtection="1">
      <alignment horizontal="left" vertical="top" wrapText="1"/>
      <protection hidden="1"/>
    </xf>
    <xf numFmtId="0" fontId="6" fillId="10" borderId="0" xfId="0" applyFont="1" applyFill="1" applyAlignment="1" applyProtection="1">
      <alignment horizontal="left" vertical="center" wrapText="1"/>
      <protection hidden="1"/>
    </xf>
    <xf numFmtId="0" fontId="6" fillId="10" borderId="0" xfId="0" applyFont="1" applyFill="1" applyAlignment="1" applyProtection="1">
      <alignment horizontal="center" vertical="center"/>
      <protection hidden="1"/>
    </xf>
    <xf numFmtId="0" fontId="2" fillId="2" borderId="0" xfId="0" applyFont="1" applyFill="1" applyAlignment="1" applyProtection="1">
      <alignment horizontal="center"/>
      <protection hidden="1"/>
    </xf>
    <xf numFmtId="0" fontId="12" fillId="31" borderId="33" xfId="0" applyFont="1" applyFill="1" applyBorder="1" applyAlignment="1" applyProtection="1">
      <alignment horizontal="left" vertical="top"/>
      <protection hidden="1"/>
    </xf>
    <xf numFmtId="0" fontId="2" fillId="17" borderId="33" xfId="0" applyFont="1" applyFill="1" applyBorder="1" applyAlignment="1" applyProtection="1">
      <alignment horizontal="left"/>
      <protection locked="0" hidden="1"/>
    </xf>
    <xf numFmtId="0" fontId="2" fillId="35" borderId="33" xfId="0" applyFont="1" applyFill="1" applyBorder="1" applyAlignment="1" applyProtection="1">
      <alignment horizontal="left"/>
      <protection locked="0" hidden="1"/>
    </xf>
    <xf numFmtId="0" fontId="7" fillId="16" borderId="1" xfId="0" applyFont="1" applyFill="1" applyBorder="1" applyAlignment="1" applyProtection="1">
      <alignment vertical="top"/>
      <protection hidden="1"/>
    </xf>
    <xf numFmtId="0" fontId="6" fillId="16" borderId="0" xfId="0" applyFont="1" applyFill="1" applyAlignment="1" applyProtection="1">
      <alignment horizontal="left" vertical="center"/>
      <protection hidden="1"/>
    </xf>
    <xf numFmtId="0" fontId="7" fillId="15" borderId="6" xfId="0" applyFont="1" applyFill="1" applyBorder="1" applyAlignment="1" applyProtection="1">
      <alignment horizontal="center" vertical="center" wrapText="1"/>
      <protection hidden="1"/>
    </xf>
    <xf numFmtId="0" fontId="7" fillId="15" borderId="6" xfId="0" applyFont="1" applyFill="1" applyBorder="1" applyAlignment="1" applyProtection="1">
      <alignment horizontal="center" vertical="center"/>
      <protection hidden="1"/>
    </xf>
    <xf numFmtId="0" fontId="2" fillId="31" borderId="12" xfId="0" applyFont="1" applyFill="1" applyBorder="1" applyAlignment="1" applyProtection="1">
      <alignment horizontal="center" vertical="top" wrapText="1"/>
      <protection hidden="1"/>
    </xf>
    <xf numFmtId="0" fontId="2" fillId="31" borderId="6" xfId="0" applyFont="1" applyFill="1" applyBorder="1" applyAlignment="1" applyProtection="1">
      <alignment horizontal="left" vertical="top" wrapText="1"/>
      <protection hidden="1"/>
    </xf>
    <xf numFmtId="0" fontId="2" fillId="31" borderId="12" xfId="0" applyFont="1" applyFill="1" applyBorder="1" applyAlignment="1" applyProtection="1">
      <alignment horizontal="left" vertical="top" wrapText="1"/>
      <protection hidden="1"/>
    </xf>
    <xf numFmtId="0" fontId="2" fillId="2" borderId="12" xfId="0" applyFont="1" applyFill="1" applyBorder="1" applyAlignment="1" applyProtection="1">
      <alignment horizontal="center" vertical="top"/>
      <protection hidden="1"/>
    </xf>
    <xf numFmtId="0" fontId="2" fillId="2" borderId="6" xfId="0" applyFont="1" applyFill="1" applyBorder="1" applyAlignment="1" applyProtection="1">
      <alignment horizontal="center" vertical="top"/>
      <protection hidden="1"/>
    </xf>
    <xf numFmtId="0" fontId="2" fillId="17" borderId="12" xfId="0" applyFont="1" applyFill="1" applyBorder="1" applyAlignment="1" applyProtection="1">
      <alignment horizontal="center" vertical="top"/>
      <protection locked="0" hidden="1"/>
    </xf>
    <xf numFmtId="0" fontId="12" fillId="17" borderId="12" xfId="0" applyFont="1" applyFill="1" applyBorder="1" applyAlignment="1" applyProtection="1">
      <alignment horizontal="left" vertical="top" wrapText="1"/>
      <protection locked="0" hidden="1"/>
    </xf>
    <xf numFmtId="0" fontId="12" fillId="2" borderId="12" xfId="0" applyFont="1" applyFill="1" applyBorder="1" applyAlignment="1" applyProtection="1">
      <alignment horizontal="left" vertical="top" wrapText="1"/>
      <protection locked="0" hidden="1"/>
    </xf>
    <xf numFmtId="0" fontId="2" fillId="17" borderId="6" xfId="0" applyFont="1" applyFill="1" applyBorder="1" applyAlignment="1" applyProtection="1">
      <alignment horizontal="center" vertical="top"/>
      <protection locked="0" hidden="1"/>
    </xf>
    <xf numFmtId="0" fontId="12" fillId="17" borderId="6" xfId="0" applyFont="1" applyFill="1" applyBorder="1" applyAlignment="1" applyProtection="1">
      <alignment horizontal="left" vertical="top" wrapText="1"/>
      <protection locked="0" hidden="1"/>
    </xf>
    <xf numFmtId="0" fontId="12" fillId="2" borderId="6" xfId="0" applyFont="1" applyFill="1" applyBorder="1" applyAlignment="1" applyProtection="1">
      <alignment horizontal="left" vertical="top" wrapText="1"/>
      <protection locked="0" hidden="1"/>
    </xf>
    <xf numFmtId="0" fontId="33" fillId="33" borderId="14" xfId="0" applyFont="1" applyFill="1" applyBorder="1" applyAlignment="1">
      <alignment horizontal="left" vertical="top" indent="1"/>
    </xf>
    <xf numFmtId="0" fontId="33" fillId="33" borderId="14" xfId="0" applyFont="1" applyFill="1" applyBorder="1" applyAlignment="1">
      <alignment horizontal="center" vertical="top" wrapText="1"/>
    </xf>
    <xf numFmtId="0" fontId="35" fillId="2" borderId="0" xfId="0" applyFont="1" applyFill="1"/>
    <xf numFmtId="0" fontId="36" fillId="14" borderId="19" xfId="0" applyFont="1" applyFill="1" applyBorder="1" applyAlignment="1">
      <alignment horizontal="left" vertical="top" wrapText="1"/>
    </xf>
    <xf numFmtId="0" fontId="36" fillId="14" borderId="19" xfId="0" applyFont="1" applyFill="1" applyBorder="1" applyAlignment="1">
      <alignment vertical="top" wrapText="1"/>
    </xf>
    <xf numFmtId="0" fontId="36" fillId="14" borderId="23" xfId="0" applyFont="1" applyFill="1" applyBorder="1" applyAlignment="1">
      <alignment vertical="top" wrapText="1"/>
    </xf>
    <xf numFmtId="0" fontId="36" fillId="13" borderId="19" xfId="0" applyFont="1" applyFill="1" applyBorder="1" applyAlignment="1">
      <alignment horizontal="left" vertical="top" wrapText="1"/>
    </xf>
    <xf numFmtId="0" fontId="36" fillId="13" borderId="19" xfId="0" applyFont="1" applyFill="1" applyBorder="1" applyAlignment="1">
      <alignment vertical="top" wrapText="1"/>
    </xf>
    <xf numFmtId="0" fontId="36" fillId="13" borderId="23" xfId="0" applyFont="1" applyFill="1" applyBorder="1" applyAlignment="1">
      <alignment vertical="top" wrapText="1"/>
    </xf>
    <xf numFmtId="0" fontId="37" fillId="2" borderId="0" xfId="0" applyFont="1" applyFill="1" applyAlignment="1">
      <alignment horizontal="left" indent="1"/>
    </xf>
    <xf numFmtId="0" fontId="37" fillId="2" borderId="0" xfId="0" applyFont="1" applyFill="1" applyAlignment="1">
      <alignment wrapText="1"/>
    </xf>
    <xf numFmtId="0" fontId="35" fillId="2" borderId="0" xfId="0" applyFont="1" applyFill="1" applyAlignment="1">
      <alignment wrapText="1"/>
    </xf>
    <xf numFmtId="0" fontId="35" fillId="2" borderId="0" xfId="0" applyFont="1" applyFill="1" applyAlignment="1">
      <alignment horizontal="left" indent="1"/>
    </xf>
    <xf numFmtId="49" fontId="39" fillId="4" borderId="6" xfId="0" applyNumberFormat="1" applyFont="1" applyFill="1" applyBorder="1" applyAlignment="1" applyProtection="1">
      <alignment horizontal="center" vertical="center" wrapText="1"/>
      <protection hidden="1"/>
    </xf>
    <xf numFmtId="0" fontId="39" fillId="26" borderId="22" xfId="0" applyFont="1" applyFill="1" applyBorder="1" applyAlignment="1" applyProtection="1">
      <alignment horizontal="center" vertical="center" wrapText="1"/>
      <protection hidden="1"/>
    </xf>
    <xf numFmtId="0" fontId="39" fillId="22" borderId="22" xfId="0" applyFont="1" applyFill="1" applyBorder="1" applyAlignment="1" applyProtection="1">
      <alignment horizontal="center" vertical="center" wrapText="1"/>
      <protection hidden="1"/>
    </xf>
    <xf numFmtId="0" fontId="39" fillId="27" borderId="22" xfId="0" applyFont="1" applyFill="1" applyBorder="1" applyAlignment="1" applyProtection="1">
      <alignment horizontal="center" vertical="center" wrapText="1"/>
      <protection hidden="1"/>
    </xf>
    <xf numFmtId="0" fontId="39" fillId="28" borderId="14" xfId="0" applyFont="1" applyFill="1" applyBorder="1" applyAlignment="1" applyProtection="1">
      <alignment horizontal="center" vertical="center" wrapText="1"/>
      <protection hidden="1"/>
    </xf>
    <xf numFmtId="49" fontId="39" fillId="4" borderId="6" xfId="0" applyNumberFormat="1" applyFont="1" applyFill="1" applyBorder="1" applyAlignment="1" applyProtection="1">
      <alignment horizontal="center" vertical="center"/>
      <protection hidden="1"/>
    </xf>
    <xf numFmtId="0" fontId="39" fillId="4" borderId="27" xfId="0" applyFont="1" applyFill="1" applyBorder="1" applyAlignment="1" applyProtection="1">
      <alignment horizontal="center" vertical="center" wrapText="1"/>
      <protection hidden="1"/>
    </xf>
    <xf numFmtId="0" fontId="40" fillId="4" borderId="23" xfId="0" applyFont="1" applyFill="1" applyBorder="1" applyAlignment="1" applyProtection="1">
      <alignment horizontal="center" vertical="center" wrapText="1"/>
      <protection hidden="1"/>
    </xf>
    <xf numFmtId="0" fontId="39" fillId="4" borderId="23" xfId="0" applyFont="1" applyFill="1" applyBorder="1" applyAlignment="1" applyProtection="1">
      <alignment horizontal="center" vertical="center" wrapText="1"/>
      <protection hidden="1"/>
    </xf>
    <xf numFmtId="0" fontId="39" fillId="4" borderId="23" xfId="0" applyFont="1" applyFill="1" applyBorder="1" applyAlignment="1" applyProtection="1">
      <alignment horizontal="center" vertical="center"/>
      <protection hidden="1"/>
    </xf>
    <xf numFmtId="0" fontId="39" fillId="4" borderId="6" xfId="0" applyFont="1" applyFill="1" applyBorder="1" applyAlignment="1" applyProtection="1">
      <alignment horizontal="center" vertical="center"/>
      <protection hidden="1"/>
    </xf>
    <xf numFmtId="0" fontId="35" fillId="0" borderId="0" xfId="0" applyFont="1" applyAlignment="1" applyProtection="1">
      <alignment horizontal="center"/>
      <protection hidden="1"/>
    </xf>
    <xf numFmtId="0" fontId="35" fillId="0" borderId="6" xfId="0" applyFont="1" applyBorder="1" applyAlignment="1" applyProtection="1">
      <alignment horizontal="center" vertical="top" wrapText="1"/>
      <protection hidden="1"/>
    </xf>
    <xf numFmtId="0" fontId="35" fillId="0" borderId="15" xfId="0" applyFont="1" applyBorder="1" applyAlignment="1" applyProtection="1">
      <alignment horizontal="left" vertical="top" wrapText="1"/>
      <protection hidden="1"/>
    </xf>
    <xf numFmtId="49" fontId="35" fillId="0" borderId="6" xfId="0" applyNumberFormat="1" applyFont="1" applyBorder="1" applyAlignment="1" applyProtection="1">
      <alignment horizontal="center" vertical="top" wrapText="1"/>
      <protection hidden="1"/>
    </xf>
    <xf numFmtId="0" fontId="35" fillId="0" borderId="10" xfId="0" applyFont="1" applyBorder="1" applyAlignment="1" applyProtection="1">
      <alignment horizontal="center" vertical="top" wrapText="1"/>
      <protection hidden="1"/>
    </xf>
    <xf numFmtId="0" fontId="36" fillId="0" borderId="15" xfId="0" applyFont="1" applyBorder="1" applyAlignment="1" applyProtection="1">
      <alignment horizontal="left" vertical="top" wrapText="1"/>
      <protection hidden="1"/>
    </xf>
    <xf numFmtId="0" fontId="36" fillId="0" borderId="6" xfId="0" applyFont="1" applyBorder="1" applyAlignment="1" applyProtection="1">
      <alignment horizontal="center" vertical="top" wrapText="1"/>
      <protection hidden="1"/>
    </xf>
    <xf numFmtId="0" fontId="36" fillId="0" borderId="6" xfId="0" applyFont="1" applyBorder="1" applyAlignment="1" applyProtection="1">
      <alignment vertical="top" wrapText="1"/>
      <protection hidden="1"/>
    </xf>
    <xf numFmtId="0" fontId="35" fillId="0" borderId="15" xfId="0" applyFont="1" applyBorder="1" applyAlignment="1" applyProtection="1">
      <alignment horizontal="center" vertical="top" wrapText="1"/>
      <protection hidden="1"/>
    </xf>
    <xf numFmtId="0" fontId="36" fillId="0" borderId="6" xfId="0" quotePrefix="1" applyFont="1" applyBorder="1" applyAlignment="1" applyProtection="1">
      <alignment vertical="top" wrapText="1"/>
      <protection hidden="1"/>
    </xf>
    <xf numFmtId="0" fontId="36" fillId="0" borderId="15" xfId="0" applyFont="1" applyBorder="1" applyAlignment="1" applyProtection="1">
      <alignment vertical="top" wrapText="1"/>
      <protection hidden="1"/>
    </xf>
    <xf numFmtId="0" fontId="35" fillId="0" borderId="6" xfId="0" quotePrefix="1" applyFont="1" applyBorder="1" applyAlignment="1" applyProtection="1">
      <alignment horizontal="center" vertical="top" wrapText="1"/>
      <protection hidden="1"/>
    </xf>
    <xf numFmtId="0" fontId="36" fillId="0" borderId="6" xfId="0" applyFont="1" applyBorder="1" applyAlignment="1" applyProtection="1">
      <alignment horizontal="left" vertical="top" wrapText="1"/>
      <protection hidden="1"/>
    </xf>
    <xf numFmtId="0" fontId="36" fillId="0" borderId="15" xfId="0" quotePrefix="1" applyFont="1" applyBorder="1" applyAlignment="1" applyProtection="1">
      <alignment vertical="top" wrapText="1"/>
      <protection hidden="1"/>
    </xf>
    <xf numFmtId="0" fontId="35" fillId="25" borderId="6" xfId="0" quotePrefix="1" applyFont="1" applyFill="1" applyBorder="1" applyAlignment="1" applyProtection="1">
      <alignment horizontal="center" vertical="top" wrapText="1"/>
      <protection hidden="1"/>
    </xf>
    <xf numFmtId="0" fontId="36" fillId="25" borderId="6" xfId="0" applyFont="1" applyFill="1" applyBorder="1" applyAlignment="1" applyProtection="1">
      <alignment horizontal="center" vertical="center" wrapText="1"/>
      <protection hidden="1"/>
    </xf>
    <xf numFmtId="0" fontId="35" fillId="25" borderId="6" xfId="0" applyFont="1" applyFill="1" applyBorder="1" applyAlignment="1" applyProtection="1">
      <alignment horizontal="center" vertical="top" wrapText="1"/>
      <protection hidden="1"/>
    </xf>
    <xf numFmtId="0" fontId="36" fillId="25" borderId="6" xfId="0" applyFont="1" applyFill="1" applyBorder="1" applyAlignment="1" applyProtection="1">
      <alignment horizontal="center" vertical="top" wrapText="1"/>
      <protection hidden="1"/>
    </xf>
    <xf numFmtId="0" fontId="36" fillId="25" borderId="12" xfId="0" applyFont="1" applyFill="1" applyBorder="1" applyAlignment="1" applyProtection="1">
      <alignment vertical="top" wrapText="1"/>
      <protection hidden="1"/>
    </xf>
    <xf numFmtId="0" fontId="36" fillId="25" borderId="28" xfId="0" applyFont="1" applyFill="1" applyBorder="1" applyAlignment="1" applyProtection="1">
      <alignment vertical="top" wrapText="1"/>
      <protection hidden="1"/>
    </xf>
    <xf numFmtId="0" fontId="36" fillId="25" borderId="12" xfId="0" applyFont="1" applyFill="1" applyBorder="1" applyAlignment="1" applyProtection="1">
      <alignment horizontal="center" vertical="center" wrapText="1"/>
      <protection hidden="1"/>
    </xf>
    <xf numFmtId="0" fontId="36" fillId="25" borderId="6" xfId="0" applyFont="1" applyFill="1" applyBorder="1" applyAlignment="1" applyProtection="1">
      <alignment vertical="top" wrapText="1"/>
      <protection hidden="1"/>
    </xf>
    <xf numFmtId="0" fontId="36" fillId="25" borderId="15" xfId="0" applyFont="1" applyFill="1" applyBorder="1" applyAlignment="1" applyProtection="1">
      <alignment vertical="top" wrapText="1"/>
      <protection hidden="1"/>
    </xf>
    <xf numFmtId="0" fontId="36" fillId="25" borderId="19" xfId="0" applyFont="1" applyFill="1" applyBorder="1" applyAlignment="1" applyProtection="1">
      <alignment vertical="top" wrapText="1"/>
      <protection hidden="1"/>
    </xf>
    <xf numFmtId="0" fontId="36" fillId="0" borderId="12" xfId="0" quotePrefix="1" applyFont="1" applyBorder="1" applyAlignment="1" applyProtection="1">
      <alignment horizontal="center" vertical="top" wrapText="1"/>
      <protection hidden="1"/>
    </xf>
    <xf numFmtId="0" fontId="36" fillId="0" borderId="23" xfId="0" applyFont="1" applyBorder="1" applyAlignment="1" applyProtection="1">
      <alignment vertical="top" wrapText="1"/>
      <protection hidden="1"/>
    </xf>
    <xf numFmtId="0" fontId="36" fillId="0" borderId="19" xfId="0" applyFont="1" applyBorder="1" applyAlignment="1" applyProtection="1">
      <alignment vertical="top" wrapText="1"/>
      <protection hidden="1"/>
    </xf>
    <xf numFmtId="0" fontId="36" fillId="0" borderId="19" xfId="0" quotePrefix="1" applyFont="1" applyBorder="1" applyAlignment="1" applyProtection="1">
      <alignment vertical="top" wrapText="1"/>
      <protection hidden="1"/>
    </xf>
    <xf numFmtId="0" fontId="36" fillId="0" borderId="23" xfId="0" quotePrefix="1" applyFont="1" applyBorder="1" applyAlignment="1" applyProtection="1">
      <alignment horizontal="center" vertical="top" wrapText="1"/>
      <protection hidden="1"/>
    </xf>
    <xf numFmtId="0" fontId="36" fillId="0" borderId="23" xfId="0" quotePrefix="1" applyFont="1" applyBorder="1" applyAlignment="1" applyProtection="1">
      <alignment vertical="top" wrapText="1"/>
      <protection hidden="1"/>
    </xf>
    <xf numFmtId="0" fontId="36" fillId="0" borderId="23" xfId="0" applyFont="1" applyBorder="1" applyAlignment="1" applyProtection="1">
      <alignment horizontal="center" vertical="top" wrapText="1"/>
      <protection hidden="1"/>
    </xf>
    <xf numFmtId="0" fontId="36" fillId="0" borderId="12" xfId="0" applyFont="1" applyBorder="1" applyAlignment="1" applyProtection="1">
      <alignment vertical="top" wrapText="1"/>
      <protection hidden="1"/>
    </xf>
    <xf numFmtId="0" fontId="35" fillId="0" borderId="0" xfId="0" applyFont="1" applyProtection="1">
      <protection hidden="1"/>
    </xf>
    <xf numFmtId="49" fontId="36" fillId="0" borderId="6" xfId="0" applyNumberFormat="1" applyFont="1" applyBorder="1" applyAlignment="1" applyProtection="1">
      <alignment horizontal="center" vertical="top" wrapText="1"/>
      <protection hidden="1"/>
    </xf>
    <xf numFmtId="0" fontId="36" fillId="0" borderId="10" xfId="0" applyFont="1" applyBorder="1" applyAlignment="1" applyProtection="1">
      <alignment horizontal="center" vertical="top" wrapText="1"/>
      <protection hidden="1"/>
    </xf>
    <xf numFmtId="0" fontId="36" fillId="2" borderId="6" xfId="0" applyFont="1" applyFill="1" applyBorder="1" applyAlignment="1" applyProtection="1">
      <alignment vertical="top" wrapText="1"/>
      <protection hidden="1"/>
    </xf>
    <xf numFmtId="0" fontId="33" fillId="0" borderId="6" xfId="0" applyFont="1" applyBorder="1" applyAlignment="1" applyProtection="1">
      <alignment horizontal="center" vertical="top" wrapText="1"/>
      <protection hidden="1"/>
    </xf>
    <xf numFmtId="49" fontId="36" fillId="2" borderId="6" xfId="0" applyNumberFormat="1" applyFont="1" applyFill="1" applyBorder="1" applyAlignment="1" applyProtection="1">
      <alignment horizontal="center" vertical="top" wrapText="1"/>
      <protection hidden="1"/>
    </xf>
    <xf numFmtId="0" fontId="36" fillId="2" borderId="10" xfId="0" applyFont="1" applyFill="1" applyBorder="1" applyAlignment="1" applyProtection="1">
      <alignment horizontal="center" vertical="top" wrapText="1"/>
      <protection hidden="1"/>
    </xf>
    <xf numFmtId="0" fontId="36" fillId="2" borderId="15" xfId="0" applyFont="1" applyFill="1" applyBorder="1" applyAlignment="1" applyProtection="1">
      <alignment vertical="top" wrapText="1"/>
      <protection hidden="1"/>
    </xf>
    <xf numFmtId="0" fontId="35" fillId="0" borderId="12" xfId="0" quotePrefix="1" applyFont="1" applyBorder="1" applyAlignment="1" applyProtection="1">
      <alignment horizontal="center" vertical="top" wrapText="1"/>
      <protection hidden="1"/>
    </xf>
    <xf numFmtId="0" fontId="36" fillId="0" borderId="12" xfId="0" applyFont="1" applyBorder="1" applyAlignment="1" applyProtection="1">
      <alignment horizontal="center" vertical="top" wrapText="1"/>
      <protection hidden="1"/>
    </xf>
    <xf numFmtId="49" fontId="36" fillId="0" borderId="6" xfId="0" applyNumberFormat="1" applyFont="1" applyBorder="1" applyAlignment="1" applyProtection="1">
      <alignment horizontal="center"/>
      <protection hidden="1"/>
    </xf>
    <xf numFmtId="0" fontId="36" fillId="0" borderId="6" xfId="0" quotePrefix="1" applyFont="1" applyBorder="1" applyAlignment="1" applyProtection="1">
      <alignment horizontal="center" vertical="top" wrapText="1"/>
      <protection hidden="1"/>
    </xf>
    <xf numFmtId="0" fontId="36" fillId="0" borderId="6" xfId="0" applyFont="1" applyBorder="1" applyAlignment="1" applyProtection="1">
      <alignment horizontal="center" vertical="top"/>
      <protection hidden="1"/>
    </xf>
    <xf numFmtId="0" fontId="36" fillId="2" borderId="6" xfId="0" applyFont="1" applyFill="1" applyBorder="1" applyAlignment="1" applyProtection="1">
      <alignment horizontal="center" vertical="top" wrapText="1"/>
      <protection hidden="1"/>
    </xf>
    <xf numFmtId="0" fontId="36" fillId="0" borderId="0" xfId="0" applyFont="1" applyAlignment="1" applyProtection="1">
      <alignment vertical="top" wrapText="1"/>
      <protection hidden="1"/>
    </xf>
    <xf numFmtId="0" fontId="36" fillId="2" borderId="15" xfId="0" applyFont="1" applyFill="1" applyBorder="1" applyAlignment="1" applyProtection="1">
      <alignment horizontal="center" vertical="top" wrapText="1"/>
      <protection hidden="1"/>
    </xf>
    <xf numFmtId="0" fontId="36" fillId="0" borderId="0" xfId="0" applyFont="1" applyAlignment="1" applyProtection="1">
      <alignment horizontal="left" vertical="top" wrapText="1"/>
      <protection hidden="1"/>
    </xf>
    <xf numFmtId="0" fontId="36" fillId="2" borderId="28" xfId="0" applyFont="1" applyFill="1" applyBorder="1" applyAlignment="1" applyProtection="1">
      <alignment horizontal="center" vertical="top" wrapText="1"/>
      <protection hidden="1"/>
    </xf>
    <xf numFmtId="0" fontId="36" fillId="2" borderId="12" xfId="0" quotePrefix="1" applyFont="1" applyFill="1" applyBorder="1" applyAlignment="1" applyProtection="1">
      <alignment horizontal="center" vertical="top" wrapText="1"/>
      <protection hidden="1"/>
    </xf>
    <xf numFmtId="0" fontId="36" fillId="2" borderId="12" xfId="0" applyFont="1" applyFill="1" applyBorder="1" applyAlignment="1" applyProtection="1">
      <alignment vertical="top" wrapText="1"/>
      <protection hidden="1"/>
    </xf>
    <xf numFmtId="0" fontId="36" fillId="2" borderId="12" xfId="0" applyFont="1" applyFill="1" applyBorder="1" applyAlignment="1" applyProtection="1">
      <alignment horizontal="center" vertical="top" wrapText="1"/>
      <protection hidden="1"/>
    </xf>
    <xf numFmtId="0" fontId="35" fillId="0" borderId="28" xfId="0" applyFont="1" applyBorder="1" applyAlignment="1" applyProtection="1">
      <alignment horizontal="center" vertical="top" wrapText="1"/>
      <protection hidden="1"/>
    </xf>
    <xf numFmtId="0" fontId="36" fillId="0" borderId="12" xfId="0" quotePrefix="1" applyFont="1" applyBorder="1" applyAlignment="1" applyProtection="1">
      <alignment vertical="top" wrapText="1"/>
      <protection hidden="1"/>
    </xf>
    <xf numFmtId="0" fontId="35" fillId="0" borderId="23" xfId="0" applyFont="1" applyBorder="1" applyAlignment="1" applyProtection="1">
      <alignment horizontal="center" vertical="top" wrapText="1"/>
      <protection hidden="1"/>
    </xf>
    <xf numFmtId="0" fontId="35" fillId="0" borderId="19" xfId="0" applyFont="1" applyBorder="1" applyAlignment="1" applyProtection="1">
      <alignment horizontal="center" vertical="top" wrapText="1"/>
      <protection hidden="1"/>
    </xf>
    <xf numFmtId="49" fontId="36" fillId="0" borderId="23" xfId="0" applyNumberFormat="1" applyFont="1" applyBorder="1" applyAlignment="1" applyProtection="1">
      <alignment horizontal="center" vertical="top" wrapText="1"/>
      <protection hidden="1"/>
    </xf>
    <xf numFmtId="0" fontId="35" fillId="0" borderId="23" xfId="0" quotePrefix="1" applyFont="1" applyBorder="1" applyAlignment="1" applyProtection="1">
      <alignment horizontal="center" vertical="top" wrapText="1"/>
      <protection hidden="1"/>
    </xf>
    <xf numFmtId="49" fontId="35" fillId="0" borderId="0" xfId="0" applyNumberFormat="1" applyFont="1" applyAlignment="1" applyProtection="1">
      <alignment horizontal="center"/>
      <protection hidden="1"/>
    </xf>
    <xf numFmtId="0" fontId="36" fillId="0" borderId="0" xfId="0" applyFont="1" applyProtection="1">
      <protection hidden="1"/>
    </xf>
    <xf numFmtId="0" fontId="36" fillId="0" borderId="0" xfId="0" applyFont="1" applyAlignment="1" applyProtection="1">
      <alignment horizontal="center"/>
      <protection hidden="1"/>
    </xf>
    <xf numFmtId="0" fontId="39" fillId="17" borderId="0" xfId="0" applyFont="1" applyFill="1" applyAlignment="1" applyProtection="1">
      <alignment horizontal="center"/>
      <protection hidden="1"/>
    </xf>
    <xf numFmtId="0" fontId="40" fillId="0" borderId="0" xfId="0" applyFont="1" applyAlignment="1" applyProtection="1">
      <alignment horizontal="center"/>
      <protection hidden="1"/>
    </xf>
    <xf numFmtId="0" fontId="36" fillId="0" borderId="0" xfId="0" applyFont="1" applyAlignment="1" applyProtection="1">
      <alignment horizontal="left" wrapText="1"/>
      <protection hidden="1"/>
    </xf>
    <xf numFmtId="0" fontId="36" fillId="30" borderId="6" xfId="0" applyFont="1" applyFill="1" applyBorder="1" applyAlignment="1" applyProtection="1">
      <alignment horizontal="center" vertical="top" wrapText="1"/>
      <protection locked="0" hidden="1"/>
    </xf>
    <xf numFmtId="0" fontId="36" fillId="30" borderId="23" xfId="0" applyFont="1" applyFill="1" applyBorder="1" applyAlignment="1" applyProtection="1">
      <alignment horizontal="center" vertical="top" wrapText="1"/>
      <protection locked="0" hidden="1"/>
    </xf>
    <xf numFmtId="0" fontId="35" fillId="2" borderId="0" xfId="0" applyFont="1" applyFill="1" applyAlignment="1" applyProtection="1">
      <alignment horizontal="center"/>
      <protection hidden="1"/>
    </xf>
    <xf numFmtId="0" fontId="23" fillId="2" borderId="0" xfId="0" applyFont="1" applyFill="1" applyAlignment="1" applyProtection="1">
      <alignment horizontal="center"/>
      <protection hidden="1"/>
    </xf>
    <xf numFmtId="0" fontId="39" fillId="12" borderId="6" xfId="0" applyFont="1" applyFill="1" applyBorder="1" applyAlignment="1" applyProtection="1">
      <alignment horizontal="center" vertical="center" wrapText="1"/>
      <protection hidden="1"/>
    </xf>
    <xf numFmtId="0" fontId="39" fillId="12" borderId="15" xfId="0" applyFont="1" applyFill="1" applyBorder="1" applyAlignment="1" applyProtection="1">
      <alignment horizontal="center" vertical="center" wrapText="1"/>
      <protection hidden="1"/>
    </xf>
    <xf numFmtId="49" fontId="38" fillId="12" borderId="6" xfId="0" applyNumberFormat="1" applyFont="1" applyFill="1" applyBorder="1" applyAlignment="1" applyProtection="1">
      <alignment horizontal="left" vertical="top"/>
      <protection hidden="1"/>
    </xf>
    <xf numFmtId="49" fontId="35" fillId="12" borderId="6" xfId="0" applyNumberFormat="1" applyFont="1" applyFill="1" applyBorder="1" applyAlignment="1" applyProtection="1">
      <alignment horizontal="center"/>
      <protection hidden="1"/>
    </xf>
    <xf numFmtId="0" fontId="35" fillId="12" borderId="10" xfId="0" applyFont="1" applyFill="1" applyBorder="1" applyAlignment="1" applyProtection="1">
      <alignment horizontal="center"/>
      <protection hidden="1"/>
    </xf>
    <xf numFmtId="0" fontId="39" fillId="12" borderId="6" xfId="0" applyFont="1" applyFill="1" applyBorder="1" applyAlignment="1" applyProtection="1">
      <alignment horizontal="center" vertical="center"/>
      <protection hidden="1"/>
    </xf>
    <xf numFmtId="0" fontId="41" fillId="12" borderId="6" xfId="0" applyFont="1" applyFill="1" applyBorder="1" applyAlignment="1" applyProtection="1">
      <alignment horizontal="center" vertical="center"/>
      <protection hidden="1"/>
    </xf>
    <xf numFmtId="0" fontId="41" fillId="12" borderId="15" xfId="0" applyFont="1" applyFill="1" applyBorder="1" applyAlignment="1" applyProtection="1">
      <alignment horizontal="center" vertical="center"/>
      <protection hidden="1"/>
    </xf>
    <xf numFmtId="0" fontId="41" fillId="12" borderId="19" xfId="0" applyFont="1" applyFill="1" applyBorder="1" applyAlignment="1" applyProtection="1">
      <alignment horizontal="center" vertical="center"/>
      <protection hidden="1"/>
    </xf>
    <xf numFmtId="0" fontId="35" fillId="2" borderId="0" xfId="0" applyFont="1" applyFill="1" applyProtection="1">
      <protection hidden="1"/>
    </xf>
    <xf numFmtId="0" fontId="23" fillId="2" borderId="0" xfId="0" applyFont="1" applyFill="1" applyProtection="1">
      <protection hidden="1"/>
    </xf>
    <xf numFmtId="0" fontId="39" fillId="23" borderId="6" xfId="0" applyFont="1" applyFill="1" applyBorder="1" applyAlignment="1" applyProtection="1">
      <alignment horizontal="center" vertical="center" wrapText="1"/>
      <protection hidden="1"/>
    </xf>
    <xf numFmtId="0" fontId="39" fillId="23" borderId="15" xfId="0" applyFont="1" applyFill="1" applyBorder="1" applyAlignment="1" applyProtection="1">
      <alignment horizontal="center" vertical="center" wrapText="1"/>
      <protection hidden="1"/>
    </xf>
    <xf numFmtId="49" fontId="38" fillId="23" borderId="6" xfId="0" applyNumberFormat="1" applyFont="1" applyFill="1" applyBorder="1" applyAlignment="1" applyProtection="1">
      <alignment horizontal="left" vertical="top"/>
      <protection hidden="1"/>
    </xf>
    <xf numFmtId="49" fontId="35" fillId="23" borderId="6" xfId="0" applyNumberFormat="1" applyFont="1" applyFill="1" applyBorder="1" applyAlignment="1" applyProtection="1">
      <alignment horizontal="center"/>
      <protection hidden="1"/>
    </xf>
    <xf numFmtId="0" fontId="35" fillId="23" borderId="10" xfId="0" applyFont="1" applyFill="1" applyBorder="1" applyAlignment="1" applyProtection="1">
      <alignment horizontal="center"/>
      <protection hidden="1"/>
    </xf>
    <xf numFmtId="0" fontId="39" fillId="23" borderId="12" xfId="0" applyFont="1" applyFill="1" applyBorder="1" applyAlignment="1" applyProtection="1">
      <alignment horizontal="center" vertical="center" wrapText="1"/>
      <protection hidden="1"/>
    </xf>
    <xf numFmtId="0" fontId="39" fillId="23" borderId="28" xfId="0" applyFont="1" applyFill="1" applyBorder="1" applyAlignment="1" applyProtection="1">
      <alignment horizontal="center" vertical="center" wrapText="1"/>
      <protection hidden="1"/>
    </xf>
    <xf numFmtId="0" fontId="39" fillId="2" borderId="0" xfId="0" applyFont="1" applyFill="1" applyAlignment="1" applyProtection="1">
      <alignment horizontal="center" vertical="center" wrapText="1"/>
      <protection hidden="1"/>
    </xf>
    <xf numFmtId="0" fontId="22" fillId="2" borderId="0" xfId="0" applyFont="1" applyFill="1" applyAlignment="1" applyProtection="1">
      <alignment horizontal="center" vertical="center" wrapText="1"/>
      <protection hidden="1"/>
    </xf>
    <xf numFmtId="0" fontId="39" fillId="24" borderId="6" xfId="0" applyFont="1" applyFill="1" applyBorder="1" applyAlignment="1" applyProtection="1">
      <alignment horizontal="center" vertical="center" wrapText="1"/>
      <protection hidden="1"/>
    </xf>
    <xf numFmtId="0" fontId="39" fillId="24" borderId="15" xfId="0" applyFont="1" applyFill="1" applyBorder="1" applyAlignment="1" applyProtection="1">
      <alignment horizontal="center" vertical="center" wrapText="1"/>
      <protection hidden="1"/>
    </xf>
    <xf numFmtId="49" fontId="39" fillId="24" borderId="6" xfId="0" applyNumberFormat="1" applyFont="1" applyFill="1" applyBorder="1" applyAlignment="1" applyProtection="1">
      <alignment horizontal="left" vertical="top"/>
      <protection hidden="1"/>
    </xf>
    <xf numFmtId="49" fontId="35" fillId="24" borderId="6" xfId="0" applyNumberFormat="1" applyFont="1" applyFill="1" applyBorder="1" applyAlignment="1" applyProtection="1">
      <alignment horizontal="center"/>
      <protection hidden="1"/>
    </xf>
    <xf numFmtId="0" fontId="35" fillId="24" borderId="10" xfId="0" applyFont="1" applyFill="1" applyBorder="1" applyAlignment="1" applyProtection="1">
      <alignment horizontal="center"/>
      <protection hidden="1"/>
    </xf>
    <xf numFmtId="0" fontId="39" fillId="24" borderId="6" xfId="0" applyFont="1" applyFill="1" applyBorder="1" applyAlignment="1" applyProtection="1">
      <alignment horizontal="center" vertical="center"/>
      <protection hidden="1"/>
    </xf>
    <xf numFmtId="0" fontId="39" fillId="24" borderId="15" xfId="0" applyFont="1" applyFill="1" applyBorder="1" applyAlignment="1" applyProtection="1">
      <alignment horizontal="center" vertical="center"/>
      <protection hidden="1"/>
    </xf>
    <xf numFmtId="0" fontId="39" fillId="24" borderId="19" xfId="0" applyFont="1" applyFill="1" applyBorder="1" applyAlignment="1" applyProtection="1">
      <alignment horizontal="center" vertical="center"/>
      <protection hidden="1"/>
    </xf>
    <xf numFmtId="0" fontId="35" fillId="2" borderId="6" xfId="0" applyFont="1" applyFill="1" applyBorder="1" applyAlignment="1" applyProtection="1">
      <alignment horizontal="center" vertical="top" wrapText="1"/>
      <protection hidden="1"/>
    </xf>
    <xf numFmtId="0" fontId="35" fillId="0" borderId="6" xfId="0" applyFont="1" applyBorder="1" applyAlignment="1" applyProtection="1">
      <alignment horizontal="center" vertical="top"/>
      <protection hidden="1"/>
    </xf>
    <xf numFmtId="0" fontId="35" fillId="2" borderId="6" xfId="0" applyFont="1" applyFill="1" applyBorder="1" applyAlignment="1" applyProtection="1">
      <alignment vertical="top" wrapText="1"/>
      <protection hidden="1"/>
    </xf>
    <xf numFmtId="0" fontId="36" fillId="2" borderId="15" xfId="0" quotePrefix="1" applyFont="1" applyFill="1" applyBorder="1" applyAlignment="1" applyProtection="1">
      <alignment vertical="top" wrapText="1"/>
      <protection hidden="1"/>
    </xf>
    <xf numFmtId="0" fontId="36" fillId="2" borderId="6" xfId="0" quotePrefix="1" applyFont="1" applyFill="1" applyBorder="1" applyAlignment="1" applyProtection="1">
      <alignment vertical="top" wrapText="1"/>
      <protection hidden="1"/>
    </xf>
    <xf numFmtId="0" fontId="35" fillId="2" borderId="12" xfId="0" applyFont="1" applyFill="1" applyBorder="1" applyAlignment="1" applyProtection="1">
      <alignment horizontal="center" vertical="top" wrapText="1"/>
      <protection hidden="1"/>
    </xf>
    <xf numFmtId="0" fontId="37" fillId="2" borderId="6" xfId="0" applyFont="1" applyFill="1" applyBorder="1" applyAlignment="1" applyProtection="1">
      <alignment vertical="top" wrapText="1"/>
      <protection hidden="1"/>
    </xf>
    <xf numFmtId="0" fontId="35" fillId="0" borderId="0" xfId="0" applyFont="1" applyAlignment="1" applyProtection="1">
      <alignment horizontal="left"/>
      <protection hidden="1"/>
    </xf>
    <xf numFmtId="0" fontId="39" fillId="12" borderId="23" xfId="0" applyFont="1" applyFill="1" applyBorder="1" applyAlignment="1" applyProtection="1">
      <alignment horizontal="center" vertical="center" wrapText="1"/>
      <protection hidden="1"/>
    </xf>
    <xf numFmtId="0" fontId="39" fillId="12" borderId="19" xfId="0" applyFont="1" applyFill="1" applyBorder="1" applyAlignment="1" applyProtection="1">
      <alignment horizontal="center" vertical="center" wrapText="1"/>
      <protection hidden="1"/>
    </xf>
    <xf numFmtId="49" fontId="38" fillId="12" borderId="23" xfId="0" applyNumberFormat="1" applyFont="1" applyFill="1" applyBorder="1" applyAlignment="1" applyProtection="1">
      <alignment horizontal="left" vertical="top"/>
      <protection hidden="1"/>
    </xf>
    <xf numFmtId="49" fontId="35" fillId="12" borderId="23" xfId="0" applyNumberFormat="1" applyFont="1" applyFill="1" applyBorder="1" applyAlignment="1" applyProtection="1">
      <alignment horizontal="center" vertical="top"/>
      <protection hidden="1"/>
    </xf>
    <xf numFmtId="0" fontId="35" fillId="12" borderId="27" xfId="0" applyFont="1" applyFill="1" applyBorder="1" applyAlignment="1" applyProtection="1">
      <alignment horizontal="center" vertical="top"/>
      <protection hidden="1"/>
    </xf>
    <xf numFmtId="0" fontId="39" fillId="12" borderId="23" xfId="0" applyFont="1" applyFill="1" applyBorder="1" applyAlignment="1" applyProtection="1">
      <alignment horizontal="center" vertical="center"/>
      <protection hidden="1"/>
    </xf>
    <xf numFmtId="0" fontId="41" fillId="12" borderId="23" xfId="0" applyFont="1" applyFill="1" applyBorder="1" applyAlignment="1" applyProtection="1">
      <alignment horizontal="center" vertical="center"/>
      <protection hidden="1"/>
    </xf>
    <xf numFmtId="49" fontId="35" fillId="23" borderId="6" xfId="0" applyNumberFormat="1" applyFont="1" applyFill="1" applyBorder="1" applyAlignment="1" applyProtection="1">
      <alignment horizontal="center" vertical="top"/>
      <protection hidden="1"/>
    </xf>
    <xf numFmtId="0" fontId="35" fillId="23" borderId="6" xfId="0" applyFont="1" applyFill="1" applyBorder="1" applyAlignment="1" applyProtection="1">
      <alignment horizontal="center" vertical="top"/>
      <protection hidden="1"/>
    </xf>
    <xf numFmtId="0" fontId="39" fillId="24" borderId="12" xfId="0" applyFont="1" applyFill="1" applyBorder="1" applyAlignment="1" applyProtection="1">
      <alignment horizontal="center" vertical="center" wrapText="1"/>
      <protection hidden="1"/>
    </xf>
    <xf numFmtId="0" fontId="39" fillId="24" borderId="28" xfId="0" applyFont="1" applyFill="1" applyBorder="1" applyAlignment="1" applyProtection="1">
      <alignment horizontal="center" vertical="center" wrapText="1"/>
      <protection hidden="1"/>
    </xf>
    <xf numFmtId="49" fontId="39" fillId="24" borderId="12" xfId="0" applyNumberFormat="1" applyFont="1" applyFill="1" applyBorder="1" applyAlignment="1" applyProtection="1">
      <alignment horizontal="left" vertical="top"/>
      <protection hidden="1"/>
    </xf>
    <xf numFmtId="49" fontId="35" fillId="24" borderId="12" xfId="0" applyNumberFormat="1" applyFont="1" applyFill="1" applyBorder="1" applyAlignment="1" applyProtection="1">
      <alignment horizontal="center" vertical="top"/>
      <protection hidden="1"/>
    </xf>
    <xf numFmtId="0" fontId="35" fillId="24" borderId="21" xfId="0" applyFont="1" applyFill="1" applyBorder="1" applyAlignment="1" applyProtection="1">
      <alignment horizontal="center" vertical="top"/>
      <protection hidden="1"/>
    </xf>
    <xf numFmtId="0" fontId="39" fillId="24" borderId="12" xfId="0" applyFont="1" applyFill="1" applyBorder="1" applyAlignment="1" applyProtection="1">
      <alignment horizontal="center" vertical="center"/>
      <protection hidden="1"/>
    </xf>
    <xf numFmtId="0" fontId="39" fillId="24" borderId="28" xfId="0" applyFont="1" applyFill="1" applyBorder="1" applyAlignment="1" applyProtection="1">
      <alignment horizontal="center" vertical="center"/>
      <protection hidden="1"/>
    </xf>
    <xf numFmtId="0" fontId="39" fillId="24" borderId="22" xfId="0" applyFont="1" applyFill="1" applyBorder="1" applyAlignment="1" applyProtection="1">
      <alignment horizontal="center" vertical="center"/>
      <protection hidden="1"/>
    </xf>
    <xf numFmtId="49" fontId="35" fillId="2" borderId="6" xfId="0" applyNumberFormat="1" applyFont="1" applyFill="1" applyBorder="1" applyAlignment="1" applyProtection="1">
      <alignment horizontal="center" vertical="top" wrapText="1"/>
      <protection hidden="1"/>
    </xf>
    <xf numFmtId="0" fontId="18" fillId="0" borderId="6" xfId="0" applyFont="1" applyBorder="1" applyAlignment="1" applyProtection="1">
      <alignment vertical="top" wrapText="1"/>
      <protection hidden="1"/>
    </xf>
    <xf numFmtId="0" fontId="18" fillId="0" borderId="15" xfId="0" applyFont="1" applyBorder="1" applyAlignment="1" applyProtection="1">
      <alignment vertical="top" wrapText="1"/>
      <protection hidden="1"/>
    </xf>
    <xf numFmtId="0" fontId="36" fillId="2" borderId="0" xfId="0" applyFont="1" applyFill="1" applyProtection="1">
      <protection hidden="1"/>
    </xf>
    <xf numFmtId="49" fontId="35" fillId="0" borderId="6" xfId="0" applyNumberFormat="1" applyFont="1" applyBorder="1" applyAlignment="1" applyProtection="1">
      <alignment horizontal="center" vertical="top"/>
      <protection hidden="1"/>
    </xf>
    <xf numFmtId="49" fontId="39" fillId="24" borderId="23" xfId="0" applyNumberFormat="1" applyFont="1" applyFill="1" applyBorder="1" applyAlignment="1" applyProtection="1">
      <alignment horizontal="left" vertical="top"/>
      <protection hidden="1"/>
    </xf>
    <xf numFmtId="49" fontId="35" fillId="24" borderId="23" xfId="0" applyNumberFormat="1" applyFont="1" applyFill="1" applyBorder="1" applyAlignment="1" applyProtection="1">
      <alignment horizontal="center" vertical="top"/>
      <protection hidden="1"/>
    </xf>
    <xf numFmtId="0" fontId="35" fillId="24" borderId="27" xfId="0" applyFont="1" applyFill="1" applyBorder="1" applyAlignment="1" applyProtection="1">
      <alignment horizontal="center" vertical="top"/>
      <protection hidden="1"/>
    </xf>
    <xf numFmtId="0" fontId="22" fillId="24" borderId="6" xfId="0" applyFont="1" applyFill="1" applyBorder="1" applyAlignment="1" applyProtection="1">
      <alignment horizontal="center" vertical="center"/>
      <protection hidden="1"/>
    </xf>
    <xf numFmtId="0" fontId="22" fillId="24" borderId="15" xfId="0" applyFont="1" applyFill="1" applyBorder="1" applyAlignment="1" applyProtection="1">
      <alignment horizontal="center" vertical="center"/>
      <protection hidden="1"/>
    </xf>
    <xf numFmtId="0" fontId="22" fillId="24" borderId="23" xfId="0" applyFont="1" applyFill="1" applyBorder="1" applyAlignment="1" applyProtection="1">
      <alignment horizontal="center" vertical="center"/>
      <protection hidden="1"/>
    </xf>
    <xf numFmtId="0" fontId="22" fillId="24" borderId="22" xfId="0" applyFont="1" applyFill="1" applyBorder="1" applyAlignment="1" applyProtection="1">
      <alignment horizontal="center" vertical="center"/>
      <protection hidden="1"/>
    </xf>
    <xf numFmtId="49" fontId="35" fillId="2" borderId="15" xfId="0" applyNumberFormat="1" applyFont="1" applyFill="1" applyBorder="1" applyAlignment="1" applyProtection="1">
      <alignment horizontal="center" vertical="top" wrapText="1"/>
      <protection hidden="1"/>
    </xf>
    <xf numFmtId="0" fontId="35" fillId="0" borderId="6" xfId="0" applyFont="1" applyBorder="1" applyAlignment="1" applyProtection="1">
      <alignment vertical="top" wrapText="1"/>
      <protection hidden="1"/>
    </xf>
    <xf numFmtId="0" fontId="23" fillId="0" borderId="6" xfId="0" applyFont="1" applyBorder="1" applyAlignment="1" applyProtection="1">
      <alignment vertical="top" wrapText="1"/>
      <protection hidden="1"/>
    </xf>
    <xf numFmtId="0" fontId="36" fillId="0" borderId="15" xfId="0" applyFont="1" applyBorder="1" applyAlignment="1" applyProtection="1">
      <alignment horizontal="center" vertical="top" wrapText="1"/>
      <protection hidden="1"/>
    </xf>
    <xf numFmtId="0" fontId="36" fillId="0" borderId="26" xfId="0" applyFont="1" applyBorder="1" applyAlignment="1" applyProtection="1">
      <alignment horizontal="center" vertical="top" wrapText="1"/>
      <protection hidden="1"/>
    </xf>
    <xf numFmtId="0" fontId="35" fillId="0" borderId="26" xfId="0" applyFont="1" applyBorder="1" applyAlignment="1" applyProtection="1">
      <alignment horizontal="center" vertical="top" wrapText="1"/>
      <protection hidden="1"/>
    </xf>
    <xf numFmtId="0" fontId="23" fillId="0" borderId="23" xfId="0" applyFont="1" applyBorder="1" applyAlignment="1" applyProtection="1">
      <alignment vertical="top" wrapText="1"/>
      <protection hidden="1"/>
    </xf>
    <xf numFmtId="0" fontId="35" fillId="0" borderId="15" xfId="0" applyFont="1" applyBorder="1" applyAlignment="1" applyProtection="1">
      <alignment horizontal="center" vertical="top"/>
      <protection hidden="1"/>
    </xf>
    <xf numFmtId="0" fontId="35" fillId="2" borderId="15" xfId="0" applyFont="1" applyFill="1" applyBorder="1" applyAlignment="1" applyProtection="1">
      <alignment horizontal="center" vertical="top" wrapText="1"/>
      <protection hidden="1"/>
    </xf>
    <xf numFmtId="0" fontId="35" fillId="2" borderId="6" xfId="0" applyFont="1" applyFill="1" applyBorder="1" applyAlignment="1" applyProtection="1">
      <alignment horizontal="center" vertical="top"/>
      <protection hidden="1"/>
    </xf>
    <xf numFmtId="0" fontId="35" fillId="2" borderId="15" xfId="0" applyFont="1" applyFill="1" applyBorder="1" applyAlignment="1" applyProtection="1">
      <alignment horizontal="center" vertical="top"/>
      <protection hidden="1"/>
    </xf>
    <xf numFmtId="0" fontId="23" fillId="2" borderId="6" xfId="0" applyFont="1" applyFill="1" applyBorder="1" applyAlignment="1" applyProtection="1">
      <alignment vertical="top" wrapText="1"/>
      <protection hidden="1"/>
    </xf>
    <xf numFmtId="0" fontId="36" fillId="2" borderId="0" xfId="0" applyFont="1" applyFill="1" applyAlignment="1" applyProtection="1">
      <alignment horizontal="center"/>
      <protection hidden="1"/>
    </xf>
    <xf numFmtId="0" fontId="35" fillId="2" borderId="0" xfId="0" applyFont="1" applyFill="1" applyAlignment="1" applyProtection="1">
      <alignment horizontal="center" vertical="top"/>
      <protection hidden="1"/>
    </xf>
    <xf numFmtId="0" fontId="36" fillId="2" borderId="0" xfId="0" applyFont="1" applyFill="1" applyAlignment="1" applyProtection="1">
      <alignment vertical="top"/>
      <protection hidden="1"/>
    </xf>
    <xf numFmtId="0" fontId="35" fillId="0" borderId="0" xfId="0" applyFont="1" applyAlignment="1" applyProtection="1">
      <alignment horizontal="left" wrapText="1"/>
      <protection hidden="1"/>
    </xf>
    <xf numFmtId="0" fontId="38" fillId="12" borderId="6" xfId="0" applyFont="1" applyFill="1" applyBorder="1" applyAlignment="1" applyProtection="1">
      <alignment horizontal="center" vertical="center"/>
      <protection hidden="1"/>
    </xf>
    <xf numFmtId="0" fontId="38" fillId="23" borderId="6" xfId="0" applyFont="1" applyFill="1" applyBorder="1" applyAlignment="1" applyProtection="1">
      <alignment horizontal="center" vertical="center"/>
      <protection hidden="1"/>
    </xf>
    <xf numFmtId="0" fontId="35" fillId="0" borderId="12" xfId="0" applyFont="1" applyBorder="1" applyAlignment="1" applyProtection="1">
      <alignment horizontal="center" vertical="top" wrapText="1"/>
      <protection hidden="1"/>
    </xf>
    <xf numFmtId="0" fontId="35" fillId="0" borderId="12" xfId="0" applyFont="1" applyBorder="1" applyAlignment="1" applyProtection="1">
      <alignment vertical="top" wrapText="1"/>
      <protection hidden="1"/>
    </xf>
    <xf numFmtId="0" fontId="35" fillId="0" borderId="24" xfId="0" applyFont="1" applyBorder="1" applyAlignment="1" applyProtection="1">
      <alignment horizontal="center" vertical="top" wrapText="1"/>
      <protection hidden="1"/>
    </xf>
    <xf numFmtId="0" fontId="36" fillId="0" borderId="21" xfId="0" applyFont="1" applyBorder="1" applyAlignment="1" applyProtection="1">
      <alignment vertical="top" wrapText="1"/>
      <protection hidden="1"/>
    </xf>
    <xf numFmtId="0" fontId="35" fillId="0" borderId="27" xfId="0" applyFont="1" applyBorder="1" applyAlignment="1" applyProtection="1">
      <alignment horizontal="center" vertical="top" wrapText="1"/>
      <protection hidden="1"/>
    </xf>
    <xf numFmtId="0" fontId="36" fillId="0" borderId="10" xfId="0" applyFont="1" applyBorder="1" applyAlignment="1" applyProtection="1">
      <alignment vertical="top" wrapText="1"/>
      <protection hidden="1"/>
    </xf>
    <xf numFmtId="0" fontId="36" fillId="0" borderId="27" xfId="0" applyFont="1" applyBorder="1" applyAlignment="1" applyProtection="1">
      <alignment horizontal="center" vertical="top" wrapText="1"/>
      <protection hidden="1"/>
    </xf>
    <xf numFmtId="0" fontId="35" fillId="2" borderId="0" xfId="0" applyFont="1" applyFill="1" applyAlignment="1" applyProtection="1">
      <alignment vertical="top"/>
      <protection hidden="1"/>
    </xf>
    <xf numFmtId="0" fontId="36" fillId="30" borderId="12" xfId="0" applyFont="1" applyFill="1" applyBorder="1" applyAlignment="1" applyProtection="1">
      <alignment horizontal="center" vertical="top" wrapText="1"/>
      <protection locked="0" hidden="1"/>
    </xf>
    <xf numFmtId="0" fontId="38" fillId="12" borderId="22" xfId="0" applyFont="1" applyFill="1" applyBorder="1" applyAlignment="1" applyProtection="1">
      <alignment horizontal="left" vertical="center"/>
      <protection hidden="1"/>
    </xf>
    <xf numFmtId="0" fontId="38" fillId="12" borderId="22" xfId="0" applyFont="1" applyFill="1" applyBorder="1" applyAlignment="1" applyProtection="1">
      <alignment horizontal="center" vertical="center"/>
      <protection hidden="1"/>
    </xf>
    <xf numFmtId="0" fontId="41" fillId="12" borderId="6" xfId="0" applyFont="1" applyFill="1" applyBorder="1" applyAlignment="1" applyProtection="1">
      <alignment horizontal="left" vertical="center"/>
      <protection hidden="1"/>
    </xf>
    <xf numFmtId="0" fontId="35" fillId="2" borderId="0" xfId="0" applyFont="1" applyFill="1" applyAlignment="1" applyProtection="1">
      <alignment horizontal="left"/>
      <protection hidden="1"/>
    </xf>
    <xf numFmtId="0" fontId="38" fillId="23" borderId="28" xfId="0" applyFont="1" applyFill="1" applyBorder="1" applyAlignment="1" applyProtection="1">
      <alignment horizontal="left" vertical="center"/>
      <protection hidden="1"/>
    </xf>
    <xf numFmtId="0" fontId="38" fillId="23" borderId="28" xfId="0" applyFont="1" applyFill="1" applyBorder="1" applyAlignment="1" applyProtection="1">
      <alignment horizontal="center" vertical="center"/>
      <protection hidden="1"/>
    </xf>
    <xf numFmtId="0" fontId="38" fillId="23" borderId="6" xfId="0" applyFont="1" applyFill="1" applyBorder="1" applyAlignment="1" applyProtection="1">
      <alignment horizontal="left" vertical="center"/>
      <protection hidden="1"/>
    </xf>
    <xf numFmtId="0" fontId="39" fillId="2" borderId="0" xfId="0" applyFont="1" applyFill="1" applyAlignment="1" applyProtection="1">
      <alignment horizontal="left" vertical="center" wrapText="1"/>
      <protection hidden="1"/>
    </xf>
    <xf numFmtId="0" fontId="35" fillId="0" borderId="12" xfId="0" quotePrefix="1" applyFont="1" applyBorder="1" applyAlignment="1" applyProtection="1">
      <alignment vertical="top" wrapText="1"/>
      <protection hidden="1"/>
    </xf>
    <xf numFmtId="0" fontId="35" fillId="0" borderId="22" xfId="0" applyFont="1" applyBorder="1" applyAlignment="1" applyProtection="1">
      <alignment vertical="top" wrapText="1"/>
      <protection hidden="1"/>
    </xf>
    <xf numFmtId="0" fontId="35" fillId="0" borderId="22" xfId="0" quotePrefix="1" applyFont="1" applyBorder="1" applyAlignment="1" applyProtection="1">
      <alignment vertical="top" wrapText="1"/>
      <protection hidden="1"/>
    </xf>
    <xf numFmtId="0" fontId="36" fillId="30" borderId="10" xfId="0" applyFont="1" applyFill="1" applyBorder="1" applyAlignment="1" applyProtection="1">
      <alignment horizontal="center" vertical="top" wrapText="1"/>
      <protection locked="0" hidden="1"/>
    </xf>
    <xf numFmtId="0" fontId="39" fillId="12" borderId="23" xfId="0" applyFont="1" applyFill="1" applyBorder="1" applyAlignment="1" applyProtection="1">
      <alignment horizontal="left" vertical="center" wrapText="1"/>
      <protection hidden="1"/>
    </xf>
    <xf numFmtId="0" fontId="39" fillId="12" borderId="19" xfId="0" applyFont="1" applyFill="1" applyBorder="1" applyAlignment="1" applyProtection="1">
      <alignment horizontal="left" vertical="center" wrapText="1"/>
      <protection hidden="1"/>
    </xf>
    <xf numFmtId="49" fontId="35" fillId="12" borderId="23" xfId="0" applyNumberFormat="1" applyFont="1" applyFill="1" applyBorder="1" applyAlignment="1" applyProtection="1">
      <alignment horizontal="left" vertical="top"/>
      <protection hidden="1"/>
    </xf>
    <xf numFmtId="0" fontId="35" fillId="12" borderId="23" xfId="0" applyFont="1" applyFill="1" applyBorder="1" applyAlignment="1" applyProtection="1">
      <alignment horizontal="left" vertical="top"/>
      <protection hidden="1"/>
    </xf>
    <xf numFmtId="0" fontId="39" fillId="12" borderId="6" xfId="0" applyFont="1" applyFill="1" applyBorder="1" applyAlignment="1" applyProtection="1">
      <alignment horizontal="left" vertical="center" wrapText="1"/>
      <protection hidden="1"/>
    </xf>
    <xf numFmtId="0" fontId="39" fillId="12" borderId="23" xfId="0" applyFont="1" applyFill="1" applyBorder="1" applyAlignment="1" applyProtection="1">
      <alignment horizontal="left" vertical="center"/>
      <protection hidden="1"/>
    </xf>
    <xf numFmtId="0" fontId="41" fillId="12" borderId="23" xfId="0" applyFont="1" applyFill="1" applyBorder="1" applyAlignment="1" applyProtection="1">
      <alignment horizontal="left" vertical="center"/>
      <protection hidden="1"/>
    </xf>
    <xf numFmtId="0" fontId="41" fillId="12" borderId="19" xfId="0" applyFont="1" applyFill="1" applyBorder="1" applyAlignment="1" applyProtection="1">
      <alignment horizontal="left" vertical="center"/>
      <protection hidden="1"/>
    </xf>
    <xf numFmtId="0" fontId="39" fillId="23" borderId="6" xfId="0" applyFont="1" applyFill="1" applyBorder="1" applyAlignment="1" applyProtection="1">
      <alignment horizontal="left" vertical="center" wrapText="1"/>
      <protection hidden="1"/>
    </xf>
    <xf numFmtId="49" fontId="35" fillId="23" borderId="6" xfId="0" applyNumberFormat="1" applyFont="1" applyFill="1" applyBorder="1" applyAlignment="1" applyProtection="1">
      <alignment horizontal="left" vertical="top"/>
      <protection hidden="1"/>
    </xf>
    <xf numFmtId="0" fontId="35" fillId="23" borderId="6" xfId="0" applyFont="1" applyFill="1" applyBorder="1" applyAlignment="1" applyProtection="1">
      <alignment horizontal="left" vertical="top"/>
      <protection hidden="1"/>
    </xf>
    <xf numFmtId="0" fontId="36" fillId="0" borderId="26" xfId="0" applyFont="1" applyBorder="1" applyAlignment="1" applyProtection="1">
      <alignment vertical="top" wrapText="1"/>
      <protection hidden="1"/>
    </xf>
    <xf numFmtId="0" fontId="35" fillId="0" borderId="26" xfId="0" applyFont="1" applyBorder="1" applyAlignment="1" applyProtection="1">
      <alignment vertical="top" wrapText="1"/>
      <protection hidden="1"/>
    </xf>
    <xf numFmtId="0" fontId="35" fillId="12" borderId="23" xfId="0" applyFont="1" applyFill="1" applyBorder="1" applyAlignment="1" applyProtection="1">
      <alignment horizontal="center" vertical="top"/>
      <protection hidden="1"/>
    </xf>
    <xf numFmtId="0" fontId="39" fillId="12" borderId="27" xfId="0" applyFont="1" applyFill="1" applyBorder="1" applyAlignment="1" applyProtection="1">
      <alignment horizontal="center" vertical="center"/>
      <protection hidden="1"/>
    </xf>
    <xf numFmtId="0" fontId="36" fillId="0" borderId="24" xfId="0" applyFont="1" applyBorder="1" applyAlignment="1" applyProtection="1">
      <alignment vertical="top" wrapText="1"/>
      <protection hidden="1"/>
    </xf>
    <xf numFmtId="0" fontId="35" fillId="0" borderId="22" xfId="0" applyFont="1" applyBorder="1" applyAlignment="1" applyProtection="1">
      <alignment horizontal="center" vertical="top" wrapText="1"/>
      <protection hidden="1"/>
    </xf>
    <xf numFmtId="0" fontId="36" fillId="0" borderId="27" xfId="0" applyFont="1" applyBorder="1" applyAlignment="1" applyProtection="1">
      <alignment vertical="top" wrapText="1"/>
      <protection hidden="1"/>
    </xf>
    <xf numFmtId="0" fontId="35" fillId="0" borderId="23" xfId="0" applyFont="1" applyBorder="1" applyAlignment="1" applyProtection="1">
      <alignment vertical="top" wrapText="1"/>
      <protection hidden="1"/>
    </xf>
    <xf numFmtId="0" fontId="35" fillId="0" borderId="15" xfId="0" applyFont="1" applyBorder="1" applyAlignment="1" applyProtection="1">
      <alignment vertical="top" wrapText="1"/>
      <protection hidden="1"/>
    </xf>
    <xf numFmtId="0" fontId="36" fillId="30" borderId="24" xfId="0" applyFont="1" applyFill="1" applyBorder="1" applyAlignment="1" applyProtection="1">
      <alignment horizontal="center" vertical="top" wrapText="1"/>
      <protection locked="0" hidden="1"/>
    </xf>
    <xf numFmtId="0" fontId="36" fillId="30" borderId="27" xfId="0" applyFont="1" applyFill="1" applyBorder="1" applyAlignment="1" applyProtection="1">
      <alignment horizontal="center" vertical="top" wrapText="1"/>
      <protection locked="0" hidden="1"/>
    </xf>
    <xf numFmtId="0" fontId="36" fillId="30" borderId="21" xfId="0" applyFont="1" applyFill="1" applyBorder="1" applyAlignment="1" applyProtection="1">
      <alignment horizontal="center" vertical="top" wrapText="1"/>
      <protection locked="0" hidden="1"/>
    </xf>
    <xf numFmtId="0" fontId="39" fillId="12" borderId="6" xfId="0" applyFont="1" applyFill="1" applyBorder="1" applyAlignment="1" applyProtection="1">
      <alignment horizontal="center" vertical="top" wrapText="1"/>
      <protection hidden="1"/>
    </xf>
    <xf numFmtId="0" fontId="39" fillId="23" borderId="6" xfId="0" applyFont="1" applyFill="1" applyBorder="1" applyAlignment="1" applyProtection="1">
      <alignment horizontal="center" vertical="top" wrapText="1"/>
      <protection hidden="1"/>
    </xf>
    <xf numFmtId="0" fontId="39" fillId="23" borderId="0" xfId="0" applyFont="1" applyFill="1" applyAlignment="1" applyProtection="1">
      <alignment horizontal="center" vertical="center" wrapText="1"/>
      <protection hidden="1"/>
    </xf>
    <xf numFmtId="49" fontId="39" fillId="24" borderId="22" xfId="0" applyNumberFormat="1" applyFont="1" applyFill="1" applyBorder="1" applyAlignment="1" applyProtection="1">
      <alignment horizontal="left" vertical="top"/>
      <protection hidden="1"/>
    </xf>
    <xf numFmtId="49" fontId="35" fillId="24" borderId="22" xfId="0" applyNumberFormat="1" applyFont="1" applyFill="1" applyBorder="1" applyAlignment="1" applyProtection="1">
      <alignment horizontal="left"/>
      <protection hidden="1"/>
    </xf>
    <xf numFmtId="0" fontId="35" fillId="24" borderId="24" xfId="0" applyFont="1" applyFill="1" applyBorder="1" applyAlignment="1" applyProtection="1">
      <alignment horizontal="left"/>
      <protection hidden="1"/>
    </xf>
    <xf numFmtId="0" fontId="39" fillId="24" borderId="6" xfId="0" applyFont="1" applyFill="1" applyBorder="1" applyAlignment="1" applyProtection="1">
      <alignment horizontal="center" vertical="top" wrapText="1"/>
      <protection hidden="1"/>
    </xf>
    <xf numFmtId="0" fontId="35" fillId="0" borderId="27" xfId="0" applyFont="1" applyBorder="1" applyAlignment="1" applyProtection="1">
      <alignment vertical="top" wrapText="1"/>
      <protection hidden="1"/>
    </xf>
    <xf numFmtId="0" fontId="35" fillId="0" borderId="10" xfId="0" applyFont="1" applyBorder="1" applyAlignment="1" applyProtection="1">
      <alignment vertical="top" wrapText="1"/>
      <protection hidden="1"/>
    </xf>
    <xf numFmtId="0" fontId="35" fillId="0" borderId="0" xfId="0" applyFont="1" applyAlignment="1" applyProtection="1">
      <alignment vertical="top" wrapText="1"/>
      <protection hidden="1"/>
    </xf>
    <xf numFmtId="49" fontId="35" fillId="24" borderId="6" xfId="0" applyNumberFormat="1" applyFont="1" applyFill="1" applyBorder="1" applyAlignment="1" applyProtection="1">
      <alignment horizontal="left"/>
      <protection hidden="1"/>
    </xf>
    <xf numFmtId="0" fontId="35" fillId="24" borderId="10" xfId="0" applyFont="1" applyFill="1" applyBorder="1" applyAlignment="1" applyProtection="1">
      <alignment horizontal="left"/>
      <protection hidden="1"/>
    </xf>
    <xf numFmtId="0" fontId="39" fillId="24" borderId="23" xfId="0" applyFont="1" applyFill="1" applyBorder="1" applyAlignment="1" applyProtection="1">
      <alignment horizontal="center" vertical="center"/>
      <protection hidden="1"/>
    </xf>
    <xf numFmtId="0" fontId="37" fillId="0" borderId="0" xfId="0" applyFont="1" applyAlignment="1" applyProtection="1">
      <alignment vertical="top" wrapText="1"/>
      <protection hidden="1"/>
    </xf>
    <xf numFmtId="0" fontId="35" fillId="0" borderId="10" xfId="0" applyFont="1" applyBorder="1" applyAlignment="1" applyProtection="1">
      <alignment horizontal="left" vertical="top" wrapText="1"/>
      <protection hidden="1"/>
    </xf>
    <xf numFmtId="49" fontId="36" fillId="0" borderId="6" xfId="0" applyNumberFormat="1" applyFont="1" applyBorder="1" applyAlignment="1" applyProtection="1">
      <alignment horizontal="center" vertical="top"/>
      <protection hidden="1"/>
    </xf>
    <xf numFmtId="0" fontId="50" fillId="2" borderId="23" xfId="0" applyFont="1" applyFill="1" applyBorder="1" applyAlignment="1" applyProtection="1">
      <alignment vertical="top" wrapText="1"/>
      <protection hidden="1"/>
    </xf>
    <xf numFmtId="0" fontId="36" fillId="0" borderId="10" xfId="0" quotePrefix="1" applyFont="1" applyBorder="1" applyAlignment="1" applyProtection="1">
      <alignment vertical="top" wrapText="1"/>
      <protection hidden="1"/>
    </xf>
    <xf numFmtId="0" fontId="35" fillId="25" borderId="6" xfId="0" applyFont="1" applyFill="1" applyBorder="1" applyAlignment="1" applyProtection="1">
      <alignment vertical="top" wrapText="1"/>
      <protection hidden="1"/>
    </xf>
    <xf numFmtId="0" fontId="36" fillId="25" borderId="15" xfId="0" quotePrefix="1" applyFont="1" applyFill="1" applyBorder="1" applyAlignment="1" applyProtection="1">
      <alignment vertical="top" wrapText="1"/>
      <protection hidden="1"/>
    </xf>
    <xf numFmtId="0" fontId="36" fillId="25" borderId="6" xfId="0" quotePrefix="1" applyFont="1" applyFill="1" applyBorder="1" applyAlignment="1" applyProtection="1">
      <alignment vertical="top" wrapText="1"/>
      <protection hidden="1"/>
    </xf>
    <xf numFmtId="0" fontId="35" fillId="0" borderId="21" xfId="0" applyFont="1" applyBorder="1" applyAlignment="1" applyProtection="1">
      <alignment vertical="top" wrapText="1"/>
      <protection hidden="1"/>
    </xf>
    <xf numFmtId="49" fontId="35" fillId="0" borderId="0" xfId="0" applyNumberFormat="1" applyFont="1" applyAlignment="1" applyProtection="1">
      <alignment horizontal="center" vertical="top"/>
      <protection hidden="1"/>
    </xf>
    <xf numFmtId="0" fontId="35" fillId="0" borderId="0" xfId="0" applyFont="1" applyAlignment="1" applyProtection="1">
      <alignment horizontal="center" vertical="top"/>
      <protection hidden="1"/>
    </xf>
    <xf numFmtId="0" fontId="35" fillId="0" borderId="0" xfId="0" applyFont="1" applyAlignment="1" applyProtection="1">
      <alignment vertical="top"/>
      <protection hidden="1"/>
    </xf>
    <xf numFmtId="0" fontId="35" fillId="0" borderId="0" xfId="0" applyFont="1" applyAlignment="1" applyProtection="1">
      <alignment horizontal="left" vertical="top" wrapText="1"/>
      <protection hidden="1"/>
    </xf>
    <xf numFmtId="0" fontId="36" fillId="0" borderId="6" xfId="0" quotePrefix="1" applyFont="1" applyBorder="1" applyAlignment="1" applyProtection="1">
      <alignment horizontal="left" vertical="top" wrapText="1"/>
      <protection hidden="1"/>
    </xf>
    <xf numFmtId="0" fontId="35" fillId="0" borderId="12" xfId="0" applyFont="1" applyBorder="1" applyAlignment="1" applyProtection="1">
      <alignment horizontal="center" vertical="top"/>
      <protection hidden="1"/>
    </xf>
    <xf numFmtId="0" fontId="35" fillId="0" borderId="6" xfId="0" quotePrefix="1" applyFont="1" applyBorder="1" applyAlignment="1" applyProtection="1">
      <alignment vertical="top" wrapText="1"/>
      <protection hidden="1"/>
    </xf>
    <xf numFmtId="0" fontId="35" fillId="0" borderId="6" xfId="0" applyFont="1" applyBorder="1" applyAlignment="1" applyProtection="1">
      <alignment horizontal="left" vertical="top" wrapText="1"/>
      <protection hidden="1"/>
    </xf>
    <xf numFmtId="49" fontId="35" fillId="24" borderId="12" xfId="0" applyNumberFormat="1" applyFont="1" applyFill="1" applyBorder="1" applyAlignment="1" applyProtection="1">
      <alignment horizontal="center"/>
      <protection hidden="1"/>
    </xf>
    <xf numFmtId="0" fontId="35" fillId="24" borderId="21" xfId="0" applyFont="1" applyFill="1" applyBorder="1" applyAlignment="1" applyProtection="1">
      <alignment horizontal="center"/>
      <protection hidden="1"/>
    </xf>
    <xf numFmtId="0" fontId="35" fillId="0" borderId="14" xfId="0" applyFont="1" applyBorder="1" applyAlignment="1" applyProtection="1">
      <alignment horizontal="center" vertical="top" wrapText="1"/>
      <protection hidden="1"/>
    </xf>
    <xf numFmtId="0" fontId="35" fillId="0" borderId="21" xfId="0" applyFont="1" applyBorder="1" applyAlignment="1" applyProtection="1">
      <alignment horizontal="center" vertical="top" wrapText="1"/>
      <protection hidden="1"/>
    </xf>
    <xf numFmtId="0" fontId="37" fillId="0" borderId="6" xfId="0" applyFont="1" applyBorder="1" applyAlignment="1" applyProtection="1">
      <alignment horizontal="center" vertical="top" wrapText="1"/>
      <protection hidden="1"/>
    </xf>
    <xf numFmtId="0" fontId="35" fillId="0" borderId="14" xfId="0" applyFont="1" applyBorder="1" applyAlignment="1" applyProtection="1">
      <alignment vertical="top" wrapText="1"/>
      <protection hidden="1"/>
    </xf>
    <xf numFmtId="49" fontId="40" fillId="24" borderId="6" xfId="0" applyNumberFormat="1" applyFont="1" applyFill="1" applyBorder="1" applyAlignment="1" applyProtection="1">
      <alignment horizontal="left" vertical="top"/>
      <protection hidden="1"/>
    </xf>
    <xf numFmtId="49" fontId="36" fillId="24" borderId="6" xfId="0" applyNumberFormat="1" applyFont="1" applyFill="1" applyBorder="1" applyAlignment="1" applyProtection="1">
      <alignment horizontal="center"/>
      <protection hidden="1"/>
    </xf>
    <xf numFmtId="0" fontId="36" fillId="24" borderId="10" xfId="0" applyFont="1" applyFill="1" applyBorder="1" applyAlignment="1" applyProtection="1">
      <alignment horizontal="center"/>
      <protection hidden="1"/>
    </xf>
    <xf numFmtId="0" fontId="40" fillId="24" borderId="19" xfId="0" applyFont="1" applyFill="1" applyBorder="1" applyAlignment="1" applyProtection="1">
      <alignment horizontal="center" vertical="center"/>
      <protection hidden="1"/>
    </xf>
    <xf numFmtId="0" fontId="40" fillId="24" borderId="15" xfId="0" applyFont="1" applyFill="1" applyBorder="1" applyAlignment="1" applyProtection="1">
      <alignment horizontal="center" vertical="center" wrapText="1"/>
      <protection hidden="1"/>
    </xf>
    <xf numFmtId="0" fontId="40" fillId="24" borderId="19" xfId="0" quotePrefix="1" applyFont="1" applyFill="1" applyBorder="1" applyAlignment="1" applyProtection="1">
      <alignment horizontal="center" vertical="center"/>
      <protection hidden="1"/>
    </xf>
    <xf numFmtId="0" fontId="39" fillId="24" borderId="6" xfId="0" quotePrefix="1" applyFont="1" applyFill="1" applyBorder="1" applyAlignment="1" applyProtection="1">
      <alignment horizontal="center" vertical="center"/>
      <protection hidden="1"/>
    </xf>
    <xf numFmtId="0" fontId="35" fillId="0" borderId="28" xfId="0" applyFont="1" applyBorder="1" applyAlignment="1" applyProtection="1">
      <alignment vertical="top" wrapText="1"/>
      <protection hidden="1"/>
    </xf>
    <xf numFmtId="0" fontId="35" fillId="2" borderId="0" xfId="0" applyFont="1" applyFill="1" applyAlignment="1" applyProtection="1">
      <alignment vertical="top" wrapText="1"/>
      <protection hidden="1"/>
    </xf>
    <xf numFmtId="0" fontId="35" fillId="2" borderId="0" xfId="0" applyFont="1" applyFill="1" applyAlignment="1" applyProtection="1">
      <alignment horizontal="center" vertical="top" wrapText="1"/>
      <protection hidden="1"/>
    </xf>
    <xf numFmtId="0" fontId="36" fillId="30" borderId="15" xfId="0" applyFont="1" applyFill="1" applyBorder="1" applyAlignment="1" applyProtection="1">
      <alignment horizontal="center" vertical="top" wrapText="1"/>
      <protection locked="0" hidden="1"/>
    </xf>
    <xf numFmtId="0" fontId="35" fillId="30" borderId="12" xfId="0" applyFont="1" applyFill="1" applyBorder="1" applyAlignment="1" applyProtection="1">
      <alignment horizontal="center" vertical="top" wrapText="1"/>
      <protection locked="0" hidden="1"/>
    </xf>
    <xf numFmtId="49" fontId="36" fillId="2" borderId="12" xfId="0" applyNumberFormat="1" applyFont="1" applyFill="1" applyBorder="1" applyAlignment="1" applyProtection="1">
      <alignment horizontal="center" vertical="top" wrapText="1"/>
      <protection hidden="1"/>
    </xf>
    <xf numFmtId="49" fontId="35" fillId="2" borderId="0" xfId="0" applyNumberFormat="1" applyFont="1" applyFill="1" applyAlignment="1" applyProtection="1">
      <alignment horizontal="center" vertical="top"/>
      <protection hidden="1"/>
    </xf>
    <xf numFmtId="0" fontId="35" fillId="30" borderId="6" xfId="0" applyFont="1" applyFill="1" applyBorder="1" applyAlignment="1" applyProtection="1">
      <alignment horizontal="center" vertical="top" wrapText="1"/>
      <protection locked="0" hidden="1"/>
    </xf>
    <xf numFmtId="0" fontId="39" fillId="12" borderId="6" xfId="0" applyFont="1" applyFill="1" applyBorder="1" applyAlignment="1" applyProtection="1">
      <alignment horizontal="left" vertical="center"/>
      <protection hidden="1"/>
    </xf>
    <xf numFmtId="0" fontId="38" fillId="12" borderId="6" xfId="0" applyFont="1" applyFill="1" applyBorder="1" applyAlignment="1" applyProtection="1">
      <alignment horizontal="left" vertical="center"/>
      <protection hidden="1"/>
    </xf>
    <xf numFmtId="0" fontId="38" fillId="12" borderId="15" xfId="0" applyFont="1" applyFill="1" applyBorder="1" applyAlignment="1" applyProtection="1">
      <alignment horizontal="left" vertical="center"/>
      <protection hidden="1"/>
    </xf>
    <xf numFmtId="0" fontId="39" fillId="23" borderId="6" xfId="0" applyFont="1" applyFill="1" applyBorder="1" applyAlignment="1" applyProtection="1">
      <alignment horizontal="left" vertical="center"/>
      <protection hidden="1"/>
    </xf>
    <xf numFmtId="0" fontId="38" fillId="23" borderId="15" xfId="0" applyFont="1" applyFill="1" applyBorder="1" applyAlignment="1" applyProtection="1">
      <alignment horizontal="left" vertical="center"/>
      <protection hidden="1"/>
    </xf>
    <xf numFmtId="0" fontId="39" fillId="23" borderId="6" xfId="0" applyFont="1" applyFill="1" applyBorder="1" applyAlignment="1" applyProtection="1">
      <alignment horizontal="center" vertical="center"/>
      <protection hidden="1"/>
    </xf>
    <xf numFmtId="0" fontId="39" fillId="23" borderId="23" xfId="0" applyFont="1" applyFill="1" applyBorder="1" applyAlignment="1" applyProtection="1">
      <alignment horizontal="left" vertical="center"/>
      <protection hidden="1"/>
    </xf>
    <xf numFmtId="0" fontId="35" fillId="2" borderId="15" xfId="0" applyFont="1" applyFill="1" applyBorder="1" applyAlignment="1" applyProtection="1">
      <alignment vertical="top" wrapText="1"/>
      <protection hidden="1"/>
    </xf>
    <xf numFmtId="0" fontId="36" fillId="2" borderId="6" xfId="0" applyFont="1" applyFill="1" applyBorder="1" applyAlignment="1" applyProtection="1">
      <alignment horizontal="center" vertical="top"/>
      <protection hidden="1"/>
    </xf>
    <xf numFmtId="0" fontId="36" fillId="30" borderId="28" xfId="0" applyFont="1" applyFill="1" applyBorder="1" applyAlignment="1" applyProtection="1">
      <alignment horizontal="center" vertical="top" wrapText="1"/>
      <protection locked="0" hidden="1"/>
    </xf>
    <xf numFmtId="0" fontId="35" fillId="30" borderId="15" xfId="0" applyFont="1" applyFill="1" applyBorder="1" applyAlignment="1" applyProtection="1">
      <alignment horizontal="center" vertical="top" wrapText="1"/>
      <protection locked="0" hidden="1"/>
    </xf>
    <xf numFmtId="0" fontId="39" fillId="12" borderId="12" xfId="0" applyFont="1" applyFill="1" applyBorder="1" applyAlignment="1" applyProtection="1">
      <alignment horizontal="center" vertical="center" wrapText="1"/>
      <protection hidden="1"/>
    </xf>
    <xf numFmtId="0" fontId="39" fillId="12" borderId="28" xfId="0" applyFont="1" applyFill="1" applyBorder="1" applyAlignment="1" applyProtection="1">
      <alignment horizontal="center" vertical="center" wrapText="1"/>
      <protection hidden="1"/>
    </xf>
    <xf numFmtId="49" fontId="35" fillId="12" borderId="6" xfId="0" applyNumberFormat="1" applyFont="1" applyFill="1" applyBorder="1" applyAlignment="1" applyProtection="1">
      <alignment horizontal="center" vertical="top"/>
      <protection hidden="1"/>
    </xf>
    <xf numFmtId="0" fontId="35" fillId="12" borderId="21" xfId="0" applyFont="1" applyFill="1" applyBorder="1" applyAlignment="1" applyProtection="1">
      <alignment horizontal="center" vertical="top"/>
      <protection hidden="1"/>
    </xf>
    <xf numFmtId="0" fontId="39" fillId="12" borderId="12" xfId="0" applyFont="1" applyFill="1" applyBorder="1" applyAlignment="1" applyProtection="1">
      <alignment horizontal="center" vertical="top" wrapText="1"/>
      <protection hidden="1"/>
    </xf>
    <xf numFmtId="0" fontId="46" fillId="2" borderId="0" xfId="0" applyFont="1" applyFill="1" applyProtection="1">
      <protection hidden="1"/>
    </xf>
    <xf numFmtId="0" fontId="35" fillId="29" borderId="6" xfId="0" applyFont="1" applyFill="1" applyBorder="1" applyAlignment="1" applyProtection="1">
      <alignment vertical="top" wrapText="1"/>
      <protection hidden="1"/>
    </xf>
    <xf numFmtId="0" fontId="35" fillId="29" borderId="6" xfId="0" applyFont="1" applyFill="1" applyBorder="1" applyAlignment="1" applyProtection="1">
      <alignment horizontal="center" vertical="top" wrapText="1"/>
      <protection hidden="1"/>
    </xf>
    <xf numFmtId="0" fontId="36" fillId="2" borderId="23" xfId="0" applyFont="1" applyFill="1" applyBorder="1" applyAlignment="1" applyProtection="1">
      <alignment horizontal="center" vertical="top" wrapText="1"/>
      <protection hidden="1"/>
    </xf>
    <xf numFmtId="0" fontId="36" fillId="0" borderId="23" xfId="0" applyFont="1" applyBorder="1" applyAlignment="1" applyProtection="1">
      <alignment horizontal="center"/>
      <protection hidden="1"/>
    </xf>
    <xf numFmtId="0" fontId="36" fillId="29" borderId="6" xfId="0" applyFont="1" applyFill="1" applyBorder="1" applyAlignment="1" applyProtection="1">
      <alignment vertical="top" wrapText="1"/>
      <protection hidden="1"/>
    </xf>
    <xf numFmtId="0" fontId="36" fillId="0" borderId="6" xfId="0" applyFont="1" applyBorder="1" applyAlignment="1" applyProtection="1">
      <alignment horizontal="center"/>
      <protection hidden="1"/>
    </xf>
    <xf numFmtId="0" fontId="36" fillId="0" borderId="12" xfId="0" applyFont="1" applyBorder="1" applyAlignment="1" applyProtection="1">
      <alignment horizontal="center"/>
      <protection hidden="1"/>
    </xf>
    <xf numFmtId="0" fontId="36" fillId="29" borderId="6" xfId="0" applyFont="1" applyFill="1" applyBorder="1" applyAlignment="1" applyProtection="1">
      <alignment horizontal="center" vertical="top" wrapText="1"/>
      <protection hidden="1"/>
    </xf>
    <xf numFmtId="0" fontId="35" fillId="2" borderId="12" xfId="0" applyFont="1" applyFill="1" applyBorder="1" applyAlignment="1" applyProtection="1">
      <alignment vertical="top" wrapText="1"/>
      <protection hidden="1"/>
    </xf>
    <xf numFmtId="0" fontId="42" fillId="29" borderId="12" xfId="0" applyFont="1" applyFill="1" applyBorder="1" applyAlignment="1" applyProtection="1">
      <alignment horizontal="center" vertical="top" wrapText="1"/>
      <protection hidden="1"/>
    </xf>
    <xf numFmtId="0" fontId="42" fillId="29" borderId="12" xfId="0" applyFont="1" applyFill="1" applyBorder="1" applyAlignment="1" applyProtection="1">
      <alignment vertical="top" wrapText="1"/>
      <protection hidden="1"/>
    </xf>
    <xf numFmtId="0" fontId="7" fillId="2" borderId="0" xfId="0" applyFont="1" applyFill="1" applyAlignment="1" applyProtection="1">
      <alignment horizontal="left" vertical="top"/>
      <protection hidden="1"/>
    </xf>
    <xf numFmtId="0" fontId="7" fillId="2" borderId="0" xfId="0" applyFont="1" applyFill="1" applyAlignment="1" applyProtection="1">
      <alignment horizontal="center" vertical="top"/>
      <protection hidden="1"/>
    </xf>
    <xf numFmtId="0" fontId="12" fillId="2" borderId="0" xfId="0" applyFont="1" applyFill="1" applyAlignment="1" applyProtection="1">
      <alignment horizontal="center" vertical="top" wrapText="1"/>
      <protection hidden="1"/>
    </xf>
    <xf numFmtId="0" fontId="13" fillId="11" borderId="6" xfId="0" applyFont="1" applyFill="1" applyBorder="1" applyAlignment="1" applyProtection="1">
      <alignment horizontal="center" vertical="center" wrapText="1"/>
      <protection hidden="1"/>
    </xf>
    <xf numFmtId="0" fontId="12" fillId="2" borderId="0" xfId="0" applyFont="1" applyFill="1" applyAlignment="1" applyProtection="1">
      <alignment vertical="top" wrapText="1"/>
      <protection hidden="1"/>
    </xf>
    <xf numFmtId="49" fontId="12" fillId="2" borderId="0" xfId="0" applyNumberFormat="1" applyFont="1" applyFill="1" applyAlignment="1" applyProtection="1">
      <alignment vertical="top" wrapText="1"/>
      <protection hidden="1"/>
    </xf>
    <xf numFmtId="0" fontId="12" fillId="2" borderId="6" xfId="0" applyFont="1" applyFill="1" applyBorder="1" applyAlignment="1" applyProtection="1">
      <alignment horizontal="left" vertical="center" wrapText="1"/>
      <protection hidden="1"/>
    </xf>
    <xf numFmtId="0" fontId="15" fillId="2" borderId="0" xfId="0" applyFont="1" applyFill="1" applyAlignment="1" applyProtection="1">
      <alignment horizontal="left" vertical="center" wrapText="1" indent="3"/>
      <protection hidden="1"/>
    </xf>
    <xf numFmtId="0" fontId="6" fillId="2" borderId="0" xfId="0" applyFont="1" applyFill="1" applyAlignment="1" applyProtection="1">
      <alignment horizontal="left"/>
      <protection hidden="1"/>
    </xf>
    <xf numFmtId="49" fontId="2" fillId="2" borderId="0" xfId="0" applyNumberFormat="1" applyFont="1" applyFill="1" applyProtection="1">
      <protection hidden="1"/>
    </xf>
    <xf numFmtId="0" fontId="62" fillId="2" borderId="0" xfId="0" applyFont="1" applyFill="1" applyAlignment="1" applyProtection="1">
      <alignment horizontal="left"/>
      <protection hidden="1"/>
    </xf>
    <xf numFmtId="0" fontId="6" fillId="0" borderId="0" xfId="0" applyFont="1" applyAlignment="1" applyProtection="1">
      <alignment horizontal="left"/>
      <protection hidden="1"/>
    </xf>
    <xf numFmtId="0" fontId="2" fillId="4" borderId="6" xfId="0" applyFont="1" applyFill="1" applyBorder="1" applyAlignment="1" applyProtection="1">
      <alignment horizontal="center" vertical="top"/>
      <protection hidden="1"/>
    </xf>
    <xf numFmtId="0" fontId="2" fillId="4" borderId="6" xfId="0" applyFont="1" applyFill="1" applyBorder="1" applyAlignment="1" applyProtection="1">
      <alignment horizontal="center" vertical="top" wrapText="1"/>
      <protection hidden="1"/>
    </xf>
    <xf numFmtId="49" fontId="2" fillId="4" borderId="6" xfId="0" applyNumberFormat="1" applyFont="1" applyFill="1" applyBorder="1" applyAlignment="1" applyProtection="1">
      <alignment horizontal="center" vertical="top" wrapText="1"/>
      <protection hidden="1"/>
    </xf>
    <xf numFmtId="0" fontId="12" fillId="2" borderId="0" xfId="0" applyFont="1" applyFill="1" applyAlignment="1" applyProtection="1">
      <alignment horizontal="center" vertical="top"/>
      <protection hidden="1"/>
    </xf>
    <xf numFmtId="0" fontId="12" fillId="3" borderId="6" xfId="0" applyFont="1" applyFill="1" applyBorder="1" applyAlignment="1" applyProtection="1">
      <alignment horizontal="center" vertical="top" wrapText="1"/>
      <protection hidden="1"/>
    </xf>
    <xf numFmtId="0" fontId="12" fillId="3" borderId="6" xfId="0" applyFont="1" applyFill="1" applyBorder="1" applyAlignment="1" applyProtection="1">
      <alignment horizontal="left" vertical="top" wrapText="1"/>
      <protection hidden="1"/>
    </xf>
    <xf numFmtId="188" fontId="12" fillId="3" borderId="6" xfId="0" applyNumberFormat="1" applyFont="1" applyFill="1" applyBorder="1" applyAlignment="1" applyProtection="1">
      <alignment horizontal="center" vertical="top" wrapText="1"/>
      <protection hidden="1"/>
    </xf>
    <xf numFmtId="0" fontId="17" fillId="2" borderId="0" xfId="0" applyFont="1" applyFill="1" applyProtection="1">
      <protection hidden="1"/>
    </xf>
    <xf numFmtId="0" fontId="17" fillId="2" borderId="0" xfId="0" applyFont="1" applyFill="1" applyAlignment="1" applyProtection="1">
      <alignment vertical="top" wrapText="1"/>
      <protection hidden="1"/>
    </xf>
    <xf numFmtId="49" fontId="12" fillId="3" borderId="6" xfId="0" quotePrefix="1" applyNumberFormat="1" applyFont="1" applyFill="1" applyBorder="1" applyAlignment="1" applyProtection="1">
      <alignment horizontal="left" vertical="top" wrapText="1"/>
      <protection hidden="1"/>
    </xf>
    <xf numFmtId="0" fontId="12" fillId="2" borderId="0" xfId="0" applyFont="1" applyFill="1" applyProtection="1">
      <protection hidden="1"/>
    </xf>
    <xf numFmtId="0" fontId="2" fillId="17" borderId="6" xfId="0" applyFont="1" applyFill="1" applyBorder="1" applyAlignment="1" applyProtection="1">
      <alignment horizontal="left" vertical="top" wrapText="1"/>
      <protection locked="0" hidden="1"/>
    </xf>
    <xf numFmtId="0" fontId="2" fillId="17" borderId="6" xfId="0" applyFont="1" applyFill="1" applyBorder="1" applyAlignment="1" applyProtection="1">
      <alignment horizontal="center" vertical="top" wrapText="1"/>
      <protection locked="0" hidden="1"/>
    </xf>
    <xf numFmtId="188" fontId="12" fillId="17" borderId="6" xfId="0" applyNumberFormat="1" applyFont="1" applyFill="1" applyBorder="1" applyAlignment="1" applyProtection="1">
      <alignment horizontal="center" vertical="top" wrapText="1"/>
      <protection locked="0" hidden="1"/>
    </xf>
    <xf numFmtId="49" fontId="17" fillId="17" borderId="6" xfId="0" applyNumberFormat="1" applyFont="1" applyFill="1" applyBorder="1" applyAlignment="1" applyProtection="1">
      <alignment horizontal="center" vertical="top" wrapText="1"/>
      <protection locked="0" hidden="1"/>
    </xf>
    <xf numFmtId="188" fontId="12" fillId="17" borderId="6" xfId="0" applyNumberFormat="1" applyFont="1" applyFill="1" applyBorder="1" applyAlignment="1" applyProtection="1">
      <alignment horizontal="left" vertical="top" wrapText="1"/>
      <protection locked="0" hidden="1"/>
    </xf>
    <xf numFmtId="0" fontId="40" fillId="11" borderId="6" xfId="0" applyFont="1" applyFill="1" applyBorder="1" applyAlignment="1" applyProtection="1">
      <alignment horizontal="center" vertical="center" wrapText="1"/>
      <protection hidden="1"/>
    </xf>
    <xf numFmtId="0" fontId="40" fillId="11" borderId="6" xfId="0" applyFont="1" applyFill="1" applyBorder="1" applyAlignment="1" applyProtection="1">
      <alignment horizontal="center" vertical="center"/>
      <protection hidden="1"/>
    </xf>
    <xf numFmtId="0" fontId="40" fillId="11" borderId="22" xfId="0" applyFont="1" applyFill="1" applyBorder="1" applyAlignment="1" applyProtection="1">
      <alignment horizontal="center" vertical="center"/>
      <protection hidden="1"/>
    </xf>
    <xf numFmtId="0" fontId="40" fillId="0" borderId="22" xfId="0" applyFont="1" applyBorder="1" applyAlignment="1" applyProtection="1">
      <alignment horizontal="center" vertical="center"/>
      <protection hidden="1"/>
    </xf>
    <xf numFmtId="0" fontId="40" fillId="26" borderId="22" xfId="0" applyFont="1" applyFill="1" applyBorder="1" applyAlignment="1" applyProtection="1">
      <alignment horizontal="center" vertical="center" wrapText="1"/>
      <protection hidden="1"/>
    </xf>
    <xf numFmtId="0" fontId="40" fillId="22" borderId="22" xfId="0" applyFont="1" applyFill="1" applyBorder="1" applyAlignment="1" applyProtection="1">
      <alignment horizontal="center" vertical="center" wrapText="1"/>
      <protection hidden="1"/>
    </xf>
    <xf numFmtId="0" fontId="40" fillId="27" borderId="22" xfId="0" applyFont="1" applyFill="1" applyBorder="1" applyAlignment="1" applyProtection="1">
      <alignment horizontal="center" vertical="center" wrapText="1"/>
      <protection hidden="1"/>
    </xf>
    <xf numFmtId="0" fontId="40" fillId="28" borderId="14" xfId="0" applyFont="1" applyFill="1" applyBorder="1" applyAlignment="1" applyProtection="1">
      <alignment horizontal="center" vertical="center" wrapText="1"/>
      <protection hidden="1"/>
    </xf>
    <xf numFmtId="0" fontId="40" fillId="11" borderId="15" xfId="0" applyFont="1" applyFill="1" applyBorder="1" applyAlignment="1" applyProtection="1">
      <alignment horizontal="center" vertical="center" wrapText="1"/>
      <protection hidden="1"/>
    </xf>
    <xf numFmtId="0" fontId="40" fillId="37" borderId="6" xfId="0" applyFont="1" applyFill="1" applyBorder="1" applyAlignment="1" applyProtection="1">
      <alignment horizontal="center" vertical="center" wrapText="1"/>
      <protection hidden="1"/>
    </xf>
    <xf numFmtId="0" fontId="40" fillId="38" borderId="6" xfId="0" applyFont="1" applyFill="1" applyBorder="1" applyAlignment="1" applyProtection="1">
      <alignment horizontal="center" vertical="center" wrapText="1"/>
      <protection hidden="1"/>
    </xf>
    <xf numFmtId="0" fontId="40" fillId="39" borderId="6" xfId="0" applyFont="1" applyFill="1" applyBorder="1" applyAlignment="1" applyProtection="1">
      <alignment horizontal="center" vertical="center" wrapText="1"/>
      <protection hidden="1"/>
    </xf>
    <xf numFmtId="0" fontId="40" fillId="40" borderId="6" xfId="0" applyFont="1" applyFill="1" applyBorder="1" applyAlignment="1" applyProtection="1">
      <alignment horizontal="center" vertical="center" wrapText="1"/>
      <protection hidden="1"/>
    </xf>
    <xf numFmtId="0" fontId="40" fillId="41" borderId="6" xfId="0" applyFont="1" applyFill="1" applyBorder="1" applyAlignment="1" applyProtection="1">
      <alignment horizontal="center" vertical="center" wrapText="1"/>
      <protection hidden="1"/>
    </xf>
    <xf numFmtId="0" fontId="40" fillId="42" borderId="6" xfId="0" applyFont="1" applyFill="1" applyBorder="1" applyAlignment="1" applyProtection="1">
      <alignment horizontal="center" vertical="center" wrapText="1"/>
      <protection hidden="1"/>
    </xf>
    <xf numFmtId="0" fontId="36" fillId="17" borderId="6" xfId="0" applyFont="1" applyFill="1" applyBorder="1" applyAlignment="1" applyProtection="1">
      <alignment horizontal="center" vertical="top" wrapText="1"/>
      <protection hidden="1"/>
    </xf>
    <xf numFmtId="0" fontId="36" fillId="2" borderId="6" xfId="0" applyFont="1" applyFill="1" applyBorder="1" applyAlignment="1" applyProtection="1">
      <alignment horizontal="center" vertical="center" wrapText="1"/>
      <protection hidden="1"/>
    </xf>
    <xf numFmtId="0" fontId="36" fillId="2" borderId="6" xfId="0" applyFont="1" applyFill="1" applyBorder="1" applyAlignment="1" applyProtection="1">
      <alignment horizontal="center" vertical="center"/>
      <protection hidden="1"/>
    </xf>
    <xf numFmtId="0" fontId="36" fillId="0" borderId="6" xfId="0" applyFont="1" applyBorder="1" applyAlignment="1" applyProtection="1">
      <alignment horizontal="left" vertical="top"/>
      <protection hidden="1"/>
    </xf>
    <xf numFmtId="0" fontId="36" fillId="0" borderId="6" xfId="0" applyFont="1" applyBorder="1" applyAlignment="1" applyProtection="1">
      <alignment vertical="center"/>
      <protection hidden="1"/>
    </xf>
    <xf numFmtId="0" fontId="36" fillId="0" borderId="6" xfId="0" applyFont="1" applyBorder="1" applyAlignment="1" applyProtection="1">
      <alignment horizontal="center" vertical="center" wrapText="1"/>
      <protection hidden="1"/>
    </xf>
    <xf numFmtId="0" fontId="36" fillId="0" borderId="6" xfId="0" applyFont="1" applyBorder="1" applyAlignment="1" applyProtection="1">
      <alignment horizontal="center" vertical="center"/>
      <protection hidden="1"/>
    </xf>
    <xf numFmtId="2" fontId="36" fillId="0" borderId="6" xfId="0" applyNumberFormat="1" applyFont="1" applyBorder="1" applyAlignment="1" applyProtection="1">
      <alignment horizontal="center" vertical="top"/>
      <protection hidden="1"/>
    </xf>
    <xf numFmtId="0" fontId="36" fillId="2" borderId="0" xfId="0" applyFont="1" applyFill="1" applyAlignment="1" applyProtection="1">
      <alignment horizontal="center" vertical="center" wrapText="1"/>
      <protection hidden="1"/>
    </xf>
    <xf numFmtId="9" fontId="45" fillId="3" borderId="0" xfId="2" applyFont="1" applyFill="1" applyBorder="1" applyAlignment="1" applyProtection="1">
      <alignment horizontal="center" vertical="center"/>
      <protection hidden="1"/>
    </xf>
    <xf numFmtId="0" fontId="35" fillId="2" borderId="0" xfId="0" applyFont="1" applyFill="1" applyAlignment="1" applyProtection="1">
      <alignment horizontal="center" vertical="center" wrapText="1"/>
      <protection hidden="1"/>
    </xf>
    <xf numFmtId="0" fontId="35" fillId="2" borderId="0" xfId="0" applyFont="1" applyFill="1" applyAlignment="1" applyProtection="1">
      <alignment vertical="center"/>
      <protection hidden="1"/>
    </xf>
    <xf numFmtId="0" fontId="19" fillId="16" borderId="0" xfId="0" applyFont="1" applyFill="1" applyAlignment="1" applyProtection="1">
      <alignment horizontal="left" vertical="top"/>
      <protection hidden="1"/>
    </xf>
    <xf numFmtId="0" fontId="19" fillId="16" borderId="0" xfId="0" applyFont="1" applyFill="1" applyAlignment="1" applyProtection="1">
      <alignment horizontal="left" vertical="top" wrapText="1"/>
      <protection hidden="1"/>
    </xf>
    <xf numFmtId="0" fontId="19" fillId="16" borderId="0" xfId="0" applyFont="1" applyFill="1" applyAlignment="1" applyProtection="1">
      <alignment horizontal="center" vertical="top"/>
      <protection hidden="1"/>
    </xf>
    <xf numFmtId="0" fontId="19" fillId="16" borderId="0" xfId="0" applyFont="1" applyFill="1" applyAlignment="1" applyProtection="1">
      <alignment vertical="top"/>
      <protection hidden="1"/>
    </xf>
    <xf numFmtId="0" fontId="4" fillId="7" borderId="0" xfId="0" applyFont="1" applyFill="1" applyAlignment="1" applyProtection="1">
      <alignment horizontal="center" vertical="top"/>
      <protection hidden="1"/>
    </xf>
    <xf numFmtId="0" fontId="4" fillId="7" borderId="0" xfId="0" applyFont="1" applyFill="1" applyAlignment="1" applyProtection="1">
      <alignment vertical="top"/>
      <protection hidden="1"/>
    </xf>
    <xf numFmtId="0" fontId="47" fillId="7" borderId="0" xfId="0" applyFont="1" applyFill="1" applyAlignment="1" applyProtection="1">
      <alignment horizontal="center" vertical="center"/>
      <protection hidden="1"/>
    </xf>
    <xf numFmtId="0" fontId="47" fillId="7" borderId="0" xfId="0" applyFont="1" applyFill="1" applyAlignment="1" applyProtection="1">
      <alignment vertical="center"/>
      <protection hidden="1"/>
    </xf>
    <xf numFmtId="0" fontId="2" fillId="7" borderId="0" xfId="0" applyFont="1" applyFill="1" applyAlignment="1" applyProtection="1">
      <alignment horizontal="center" vertical="top" wrapText="1"/>
      <protection hidden="1"/>
    </xf>
    <xf numFmtId="0" fontId="2" fillId="7" borderId="0" xfId="0" applyFont="1" applyFill="1" applyAlignment="1" applyProtection="1">
      <alignment vertical="top" wrapText="1"/>
      <protection hidden="1"/>
    </xf>
    <xf numFmtId="0" fontId="2" fillId="7" borderId="0" xfId="0" applyFont="1" applyFill="1" applyAlignment="1" applyProtection="1">
      <alignment horizontal="center" vertical="top"/>
      <protection hidden="1"/>
    </xf>
    <xf numFmtId="0" fontId="2" fillId="7" borderId="0" xfId="0" applyFont="1" applyFill="1" applyAlignment="1" applyProtection="1">
      <alignment vertical="top"/>
      <protection hidden="1"/>
    </xf>
    <xf numFmtId="0" fontId="25" fillId="7" borderId="0" xfId="0" applyFont="1" applyFill="1" applyAlignment="1" applyProtection="1">
      <alignment horizontal="center" vertical="top"/>
      <protection hidden="1"/>
    </xf>
    <xf numFmtId="0" fontId="25" fillId="7" borderId="0" xfId="0" applyFont="1" applyFill="1" applyAlignment="1" applyProtection="1">
      <alignment vertical="top"/>
      <protection hidden="1"/>
    </xf>
    <xf numFmtId="1" fontId="2" fillId="7" borderId="0" xfId="0" applyNumberFormat="1" applyFont="1" applyFill="1" applyAlignment="1" applyProtection="1">
      <alignment vertical="top"/>
      <protection hidden="1"/>
    </xf>
    <xf numFmtId="9" fontId="2" fillId="7" borderId="0" xfId="2" applyFont="1" applyFill="1" applyAlignment="1" applyProtection="1">
      <alignment vertical="top"/>
      <protection hidden="1"/>
    </xf>
    <xf numFmtId="0" fontId="2" fillId="7" borderId="0" xfId="0" applyFont="1" applyFill="1" applyAlignment="1" applyProtection="1">
      <alignment horizontal="left" vertical="top"/>
      <protection hidden="1"/>
    </xf>
    <xf numFmtId="0" fontId="2" fillId="7" borderId="0" xfId="0" applyFont="1" applyFill="1" applyAlignment="1" applyProtection="1">
      <alignment horizontal="left" vertical="top" wrapText="1"/>
      <protection hidden="1"/>
    </xf>
    <xf numFmtId="49" fontId="2" fillId="7" borderId="0" xfId="0" applyNumberFormat="1" applyFont="1" applyFill="1" applyAlignment="1" applyProtection="1">
      <alignment horizontal="left" vertical="top"/>
      <protection hidden="1"/>
    </xf>
    <xf numFmtId="49" fontId="2" fillId="7" borderId="0" xfId="0" applyNumberFormat="1" applyFont="1" applyFill="1" applyAlignment="1" applyProtection="1">
      <alignment horizontal="left" vertical="top" wrapText="1"/>
      <protection hidden="1"/>
    </xf>
    <xf numFmtId="0" fontId="21" fillId="7" borderId="0" xfId="0" applyFont="1" applyFill="1" applyAlignment="1" applyProtection="1">
      <alignment vertical="top"/>
      <protection hidden="1"/>
    </xf>
    <xf numFmtId="0" fontId="13" fillId="2" borderId="0" xfId="0" quotePrefix="1" applyFont="1" applyFill="1" applyAlignment="1" applyProtection="1">
      <alignment horizontal="left" vertical="top" wrapText="1"/>
      <protection hidden="1"/>
    </xf>
    <xf numFmtId="0" fontId="3" fillId="2" borderId="0" xfId="0" applyFont="1" applyFill="1" applyAlignment="1" applyProtection="1">
      <alignment horizontal="center" vertical="top" wrapText="1"/>
      <protection hidden="1"/>
    </xf>
    <xf numFmtId="0" fontId="40" fillId="11" borderId="15" xfId="0" applyFont="1" applyFill="1" applyBorder="1" applyAlignment="1" applyProtection="1">
      <alignment horizontal="center" vertical="top" wrapText="1"/>
      <protection hidden="1"/>
    </xf>
    <xf numFmtId="0" fontId="36" fillId="44" borderId="6" xfId="0" applyFont="1" applyFill="1" applyBorder="1" applyAlignment="1" applyProtection="1">
      <alignment horizontal="center" vertical="top" wrapText="1"/>
      <protection hidden="1"/>
    </xf>
    <xf numFmtId="49" fontId="35" fillId="2" borderId="0" xfId="0" applyNumberFormat="1" applyFont="1" applyFill="1" applyAlignment="1" applyProtection="1">
      <alignment horizontal="center" vertical="center" wrapText="1"/>
      <protection hidden="1"/>
    </xf>
    <xf numFmtId="49" fontId="15" fillId="2" borderId="0" xfId="0" applyNumberFormat="1" applyFont="1" applyFill="1" applyAlignment="1" applyProtection="1">
      <alignment vertical="top"/>
      <protection hidden="1"/>
    </xf>
    <xf numFmtId="9" fontId="36" fillId="3" borderId="0" xfId="2" applyFont="1" applyFill="1" applyBorder="1" applyAlignment="1" applyProtection="1">
      <alignment horizontal="center" vertical="center"/>
      <protection hidden="1"/>
    </xf>
    <xf numFmtId="9" fontId="36" fillId="3" borderId="8" xfId="2" applyFont="1" applyFill="1" applyBorder="1" applyAlignment="1" applyProtection="1">
      <alignment horizontal="center" vertical="center"/>
      <protection hidden="1"/>
    </xf>
    <xf numFmtId="9" fontId="36" fillId="3" borderId="9" xfId="2" applyFont="1" applyFill="1" applyBorder="1" applyAlignment="1" applyProtection="1">
      <alignment horizontal="center" vertical="center"/>
      <protection hidden="1"/>
    </xf>
    <xf numFmtId="0" fontId="40" fillId="38" borderId="37" xfId="0" applyFont="1" applyFill="1" applyBorder="1" applyAlignment="1" applyProtection="1">
      <alignment horizontal="center" vertical="center" wrapText="1"/>
      <protection hidden="1"/>
    </xf>
    <xf numFmtId="0" fontId="40" fillId="39" borderId="37" xfId="0" applyFont="1" applyFill="1" applyBorder="1" applyAlignment="1" applyProtection="1">
      <alignment horizontal="center" vertical="center" wrapText="1"/>
      <protection hidden="1"/>
    </xf>
    <xf numFmtId="0" fontId="40" fillId="40" borderId="37" xfId="0" applyFont="1" applyFill="1" applyBorder="1" applyAlignment="1" applyProtection="1">
      <alignment horizontal="center" vertical="center" wrapText="1"/>
      <protection hidden="1"/>
    </xf>
    <xf numFmtId="0" fontId="40" fillId="41" borderId="37" xfId="0" applyFont="1" applyFill="1" applyBorder="1" applyAlignment="1" applyProtection="1">
      <alignment horizontal="center" vertical="center" wrapText="1"/>
      <protection hidden="1"/>
    </xf>
    <xf numFmtId="0" fontId="40" fillId="42" borderId="38" xfId="0" applyFont="1" applyFill="1" applyBorder="1" applyAlignment="1" applyProtection="1">
      <alignment horizontal="center" vertical="center" wrapText="1"/>
      <protection hidden="1"/>
    </xf>
    <xf numFmtId="0" fontId="40" fillId="37" borderId="34" xfId="0" applyFont="1" applyFill="1" applyBorder="1" applyAlignment="1" applyProtection="1">
      <alignment horizontal="center" vertical="center" wrapText="1"/>
      <protection hidden="1"/>
    </xf>
    <xf numFmtId="0" fontId="38" fillId="18" borderId="33" xfId="0" applyFont="1" applyFill="1" applyBorder="1" applyAlignment="1" applyProtection="1">
      <alignment horizontal="center"/>
      <protection hidden="1"/>
    </xf>
    <xf numFmtId="0" fontId="35" fillId="3" borderId="39" xfId="0" applyFont="1" applyFill="1" applyBorder="1" applyAlignment="1" applyProtection="1">
      <alignment horizontal="center" vertical="center" wrapText="1"/>
      <protection hidden="1"/>
    </xf>
    <xf numFmtId="0" fontId="35" fillId="3" borderId="41" xfId="0" applyFont="1" applyFill="1" applyBorder="1" applyAlignment="1" applyProtection="1">
      <alignment horizontal="center" vertical="center" wrapText="1"/>
      <protection hidden="1"/>
    </xf>
    <xf numFmtId="9" fontId="36" fillId="3" borderId="20" xfId="2" applyFont="1" applyFill="1" applyBorder="1" applyAlignment="1" applyProtection="1">
      <alignment horizontal="center" vertical="center"/>
      <protection hidden="1"/>
    </xf>
    <xf numFmtId="9" fontId="36" fillId="3" borderId="32" xfId="2" applyFont="1" applyFill="1" applyBorder="1" applyAlignment="1" applyProtection="1">
      <alignment horizontal="center" vertical="center"/>
      <protection hidden="1"/>
    </xf>
    <xf numFmtId="0" fontId="35" fillId="3" borderId="42" xfId="0" applyFont="1" applyFill="1" applyBorder="1" applyAlignment="1" applyProtection="1">
      <alignment horizontal="center" vertical="center" wrapText="1"/>
      <protection hidden="1"/>
    </xf>
    <xf numFmtId="9" fontId="36" fillId="3" borderId="26" xfId="2" applyFont="1" applyFill="1" applyBorder="1" applyAlignment="1" applyProtection="1">
      <alignment horizontal="center" vertical="center"/>
      <protection hidden="1"/>
    </xf>
    <xf numFmtId="9" fontId="36" fillId="3" borderId="43" xfId="2" applyFont="1" applyFill="1" applyBorder="1" applyAlignment="1" applyProtection="1">
      <alignment horizontal="center" vertical="center"/>
      <protection hidden="1"/>
    </xf>
    <xf numFmtId="49" fontId="66" fillId="45" borderId="40" xfId="0" quotePrefix="1" applyNumberFormat="1" applyFont="1" applyFill="1" applyBorder="1" applyAlignment="1" applyProtection="1">
      <alignment horizontal="center" vertical="center" wrapText="1"/>
      <protection hidden="1"/>
    </xf>
    <xf numFmtId="9" fontId="67" fillId="45" borderId="44" xfId="2" applyFont="1" applyFill="1" applyBorder="1" applyAlignment="1" applyProtection="1">
      <alignment horizontal="center" vertical="center"/>
      <protection hidden="1"/>
    </xf>
    <xf numFmtId="9" fontId="67" fillId="45" borderId="45" xfId="2" applyFont="1" applyFill="1" applyBorder="1" applyAlignment="1" applyProtection="1">
      <alignment horizontal="center" vertical="center"/>
      <protection hidden="1"/>
    </xf>
    <xf numFmtId="49" fontId="6" fillId="43" borderId="29" xfId="0" applyNumberFormat="1" applyFont="1" applyFill="1" applyBorder="1" applyAlignment="1" applyProtection="1">
      <alignment horizontal="left" vertical="top" wrapText="1"/>
      <protection hidden="1"/>
    </xf>
    <xf numFmtId="0" fontId="6" fillId="43" borderId="36" xfId="0" applyFont="1" applyFill="1" applyBorder="1" applyAlignment="1" applyProtection="1">
      <alignment horizontal="left" vertical="top" wrapText="1"/>
      <protection hidden="1"/>
    </xf>
    <xf numFmtId="0" fontId="6" fillId="43" borderId="36" xfId="0" applyFont="1" applyFill="1" applyBorder="1" applyAlignment="1" applyProtection="1">
      <alignment horizontal="center" vertical="top" wrapText="1"/>
      <protection hidden="1"/>
    </xf>
    <xf numFmtId="1" fontId="68" fillId="43" borderId="36" xfId="0" applyNumberFormat="1" applyFont="1" applyFill="1" applyBorder="1" applyAlignment="1" applyProtection="1">
      <alignment horizontal="center" vertical="top"/>
      <protection hidden="1"/>
    </xf>
    <xf numFmtId="2" fontId="24" fillId="18" borderId="36" xfId="0" applyNumberFormat="1" applyFont="1" applyFill="1" applyBorder="1" applyAlignment="1" applyProtection="1">
      <alignment horizontal="center" vertical="top"/>
      <protection hidden="1"/>
    </xf>
    <xf numFmtId="187" fontId="13" fillId="43" borderId="36" xfId="0" applyNumberFormat="1" applyFont="1" applyFill="1" applyBorder="1" applyAlignment="1" applyProtection="1">
      <alignment horizontal="center" vertical="top"/>
      <protection hidden="1"/>
    </xf>
    <xf numFmtId="0" fontId="6" fillId="43" borderId="36" xfId="0" applyFont="1" applyFill="1" applyBorder="1" applyAlignment="1" applyProtection="1">
      <alignment horizontal="center" vertical="top"/>
      <protection hidden="1"/>
    </xf>
    <xf numFmtId="9" fontId="24" fillId="18" borderId="30" xfId="2" applyFont="1" applyFill="1" applyBorder="1" applyAlignment="1" applyProtection="1">
      <alignment horizontal="center" vertical="center"/>
      <protection hidden="1"/>
    </xf>
    <xf numFmtId="2" fontId="12" fillId="34" borderId="6" xfId="0" applyNumberFormat="1" applyFont="1" applyFill="1" applyBorder="1" applyAlignment="1" applyProtection="1">
      <alignment horizontal="center" vertical="top"/>
      <protection hidden="1"/>
    </xf>
    <xf numFmtId="2" fontId="59" fillId="10" borderId="6" xfId="0" applyNumberFormat="1" applyFont="1" applyFill="1" applyBorder="1" applyAlignment="1" applyProtection="1">
      <alignment horizontal="center" vertical="top"/>
      <protection hidden="1"/>
    </xf>
    <xf numFmtId="2" fontId="12" fillId="10" borderId="6" xfId="0" applyNumberFormat="1" applyFont="1" applyFill="1" applyBorder="1" applyAlignment="1" applyProtection="1">
      <alignment horizontal="center" vertical="top"/>
      <protection hidden="1"/>
    </xf>
    <xf numFmtId="2" fontId="59" fillId="31" borderId="6" xfId="0" applyNumberFormat="1" applyFont="1" applyFill="1" applyBorder="1" applyAlignment="1" applyProtection="1">
      <alignment horizontal="center" vertical="top"/>
      <protection hidden="1"/>
    </xf>
    <xf numFmtId="49" fontId="6" fillId="34" borderId="41" xfId="0" applyNumberFormat="1" applyFont="1" applyFill="1" applyBorder="1" applyAlignment="1" applyProtection="1">
      <alignment horizontal="left" vertical="top"/>
      <protection hidden="1"/>
    </xf>
    <xf numFmtId="49" fontId="2" fillId="10" borderId="41" xfId="0" applyNumberFormat="1" applyFont="1" applyFill="1" applyBorder="1" applyAlignment="1" applyProtection="1">
      <alignment horizontal="left" vertical="top"/>
      <protection hidden="1"/>
    </xf>
    <xf numFmtId="49" fontId="6" fillId="34" borderId="42" xfId="0" applyNumberFormat="1" applyFont="1" applyFill="1" applyBorder="1" applyAlignment="1" applyProtection="1">
      <alignment horizontal="left" vertical="top"/>
      <protection hidden="1"/>
    </xf>
    <xf numFmtId="49" fontId="2" fillId="10" borderId="42" xfId="0" applyNumberFormat="1" applyFont="1" applyFill="1" applyBorder="1" applyAlignment="1" applyProtection="1">
      <alignment horizontal="left" vertical="top"/>
      <protection hidden="1"/>
    </xf>
    <xf numFmtId="49" fontId="2" fillId="2" borderId="42" xfId="0" applyNumberFormat="1" applyFont="1" applyFill="1" applyBorder="1" applyAlignment="1" applyProtection="1">
      <alignment horizontal="left" vertical="top"/>
      <protection hidden="1"/>
    </xf>
    <xf numFmtId="49" fontId="6" fillId="34" borderId="47" xfId="0" applyNumberFormat="1" applyFont="1" applyFill="1" applyBorder="1" applyAlignment="1" applyProtection="1">
      <alignment horizontal="left" vertical="top"/>
      <protection hidden="1"/>
    </xf>
    <xf numFmtId="0" fontId="2" fillId="34" borderId="20" xfId="0" applyFont="1" applyFill="1" applyBorder="1" applyAlignment="1" applyProtection="1">
      <alignment horizontal="left" vertical="top"/>
      <protection hidden="1"/>
    </xf>
    <xf numFmtId="0" fontId="2" fillId="10" borderId="20" xfId="0" applyFont="1" applyFill="1" applyBorder="1" applyAlignment="1" applyProtection="1">
      <alignment horizontal="left" vertical="top"/>
      <protection hidden="1"/>
    </xf>
    <xf numFmtId="0" fontId="2" fillId="34" borderId="26" xfId="0" applyFont="1" applyFill="1" applyBorder="1" applyAlignment="1" applyProtection="1">
      <alignment horizontal="left" vertical="top"/>
      <protection hidden="1"/>
    </xf>
    <xf numFmtId="0" fontId="2" fillId="10" borderId="26" xfId="0" applyFont="1" applyFill="1" applyBorder="1" applyAlignment="1" applyProtection="1">
      <alignment horizontal="left" vertical="top"/>
      <protection hidden="1"/>
    </xf>
    <xf numFmtId="0" fontId="2" fillId="2" borderId="26" xfId="0" applyFont="1" applyFill="1" applyBorder="1" applyAlignment="1" applyProtection="1">
      <alignment horizontal="left" vertical="top"/>
      <protection hidden="1"/>
    </xf>
    <xf numFmtId="0" fontId="2" fillId="34" borderId="16" xfId="0" applyFont="1" applyFill="1" applyBorder="1" applyAlignment="1" applyProtection="1">
      <alignment horizontal="left" vertical="top"/>
      <protection hidden="1"/>
    </xf>
    <xf numFmtId="2" fontId="12" fillId="34" borderId="54" xfId="0" applyNumberFormat="1" applyFont="1" applyFill="1" applyBorder="1" applyAlignment="1" applyProtection="1">
      <alignment horizontal="center" vertical="top"/>
      <protection hidden="1"/>
    </xf>
    <xf numFmtId="2" fontId="59" fillId="10" borderId="54" xfId="0" applyNumberFormat="1" applyFont="1" applyFill="1" applyBorder="1" applyAlignment="1" applyProtection="1">
      <alignment horizontal="center" vertical="top"/>
      <protection hidden="1"/>
    </xf>
    <xf numFmtId="1" fontId="12" fillId="10" borderId="13" xfId="0" applyNumberFormat="1" applyFont="1" applyFill="1" applyBorder="1" applyAlignment="1" applyProtection="1">
      <alignment horizontal="center" vertical="top"/>
      <protection hidden="1"/>
    </xf>
    <xf numFmtId="2" fontId="12" fillId="10" borderId="54" xfId="0" applyNumberFormat="1" applyFont="1" applyFill="1" applyBorder="1" applyAlignment="1" applyProtection="1">
      <alignment horizontal="center" vertical="top"/>
      <protection hidden="1"/>
    </xf>
    <xf numFmtId="2" fontId="59" fillId="31" borderId="54" xfId="0" applyNumberFormat="1" applyFont="1" applyFill="1" applyBorder="1" applyAlignment="1" applyProtection="1">
      <alignment horizontal="center" vertical="top"/>
      <protection hidden="1"/>
    </xf>
    <xf numFmtId="1" fontId="12" fillId="34" borderId="55" xfId="0" applyNumberFormat="1" applyFont="1" applyFill="1" applyBorder="1" applyAlignment="1" applyProtection="1">
      <alignment horizontal="center" vertical="top"/>
      <protection hidden="1"/>
    </xf>
    <xf numFmtId="1" fontId="12" fillId="34" borderId="56" xfId="0" applyNumberFormat="1" applyFont="1" applyFill="1" applyBorder="1" applyAlignment="1" applyProtection="1">
      <alignment horizontal="center" vertical="top"/>
      <protection hidden="1"/>
    </xf>
    <xf numFmtId="2" fontId="49" fillId="34" borderId="57" xfId="0" applyNumberFormat="1" applyFont="1" applyFill="1" applyBorder="1" applyAlignment="1" applyProtection="1">
      <alignment horizontal="center" vertical="top"/>
      <protection hidden="1"/>
    </xf>
    <xf numFmtId="0" fontId="2" fillId="34" borderId="11" xfId="0" applyFont="1" applyFill="1" applyBorder="1" applyAlignment="1" applyProtection="1">
      <alignment horizontal="center" vertical="top"/>
      <protection hidden="1"/>
    </xf>
    <xf numFmtId="9" fontId="2" fillId="34" borderId="32" xfId="0" applyNumberFormat="1" applyFont="1" applyFill="1" applyBorder="1" applyAlignment="1" applyProtection="1">
      <alignment horizontal="center" vertical="top"/>
      <protection hidden="1"/>
    </xf>
    <xf numFmtId="0" fontId="2" fillId="10" borderId="11" xfId="0" applyFont="1" applyFill="1" applyBorder="1" applyAlignment="1" applyProtection="1">
      <alignment horizontal="center" vertical="top"/>
      <protection hidden="1"/>
    </xf>
    <xf numFmtId="9" fontId="2" fillId="10" borderId="43" xfId="0" applyNumberFormat="1" applyFont="1" applyFill="1" applyBorder="1" applyAlignment="1" applyProtection="1">
      <alignment horizontal="center" vertical="top"/>
      <protection hidden="1"/>
    </xf>
    <xf numFmtId="9" fontId="2" fillId="10" borderId="32" xfId="0" applyNumberFormat="1" applyFont="1" applyFill="1" applyBorder="1" applyAlignment="1" applyProtection="1">
      <alignment horizontal="center" vertical="top"/>
      <protection hidden="1"/>
    </xf>
    <xf numFmtId="0" fontId="2" fillId="10" borderId="13" xfId="0" applyFont="1" applyFill="1" applyBorder="1" applyAlignment="1" applyProtection="1">
      <alignment horizontal="center" vertical="top"/>
      <protection hidden="1"/>
    </xf>
    <xf numFmtId="0" fontId="2" fillId="31" borderId="11" xfId="0" applyFont="1" applyFill="1" applyBorder="1" applyAlignment="1" applyProtection="1">
      <alignment horizontal="center" vertical="top"/>
      <protection hidden="1"/>
    </xf>
    <xf numFmtId="9" fontId="2" fillId="31" borderId="54" xfId="0" applyNumberFormat="1" applyFont="1" applyFill="1" applyBorder="1" applyAlignment="1" applyProtection="1">
      <alignment horizontal="center" vertical="top"/>
      <protection hidden="1"/>
    </xf>
    <xf numFmtId="0" fontId="2" fillId="31" borderId="13" xfId="0" applyFont="1" applyFill="1" applyBorder="1" applyAlignment="1" applyProtection="1">
      <alignment horizontal="center" vertical="top"/>
      <protection hidden="1"/>
    </xf>
    <xf numFmtId="9" fontId="2" fillId="31" borderId="32" xfId="0" applyNumberFormat="1" applyFont="1" applyFill="1" applyBorder="1" applyAlignment="1" applyProtection="1">
      <alignment horizontal="center" vertical="top"/>
      <protection hidden="1"/>
    </xf>
    <xf numFmtId="9" fontId="2" fillId="10" borderId="54" xfId="0" applyNumberFormat="1" applyFont="1" applyFill="1" applyBorder="1" applyAlignment="1" applyProtection="1">
      <alignment horizontal="center" vertical="top"/>
      <protection hidden="1"/>
    </xf>
    <xf numFmtId="9" fontId="2" fillId="31" borderId="43" xfId="0" applyNumberFormat="1" applyFont="1" applyFill="1" applyBorder="1" applyAlignment="1" applyProtection="1">
      <alignment horizontal="center" vertical="top"/>
      <protection hidden="1"/>
    </xf>
    <xf numFmtId="0" fontId="2" fillId="34" borderId="55" xfId="0" applyFont="1" applyFill="1" applyBorder="1" applyAlignment="1" applyProtection="1">
      <alignment horizontal="center" vertical="top"/>
      <protection hidden="1"/>
    </xf>
    <xf numFmtId="0" fontId="2" fillId="34" borderId="59" xfId="0" applyFont="1" applyFill="1" applyBorder="1" applyAlignment="1" applyProtection="1">
      <alignment horizontal="center" vertical="top"/>
      <protection hidden="1"/>
    </xf>
    <xf numFmtId="0" fontId="2" fillId="34" borderId="57" xfId="0" applyFont="1" applyFill="1" applyBorder="1" applyAlignment="1" applyProtection="1">
      <alignment horizontal="center" vertical="top"/>
      <protection hidden="1"/>
    </xf>
    <xf numFmtId="9" fontId="2" fillId="34" borderId="9" xfId="2" applyFont="1" applyFill="1" applyBorder="1" applyAlignment="1" applyProtection="1">
      <alignment horizontal="center" vertical="top"/>
      <protection hidden="1"/>
    </xf>
    <xf numFmtId="2" fontId="12" fillId="34" borderId="57" xfId="0" applyNumberFormat="1" applyFont="1" applyFill="1" applyBorder="1" applyAlignment="1" applyProtection="1">
      <alignment horizontal="center" vertical="top"/>
      <protection hidden="1"/>
    </xf>
    <xf numFmtId="49" fontId="2" fillId="10" borderId="42" xfId="0" applyNumberFormat="1" applyFont="1" applyFill="1" applyBorder="1" applyAlignment="1" applyProtection="1">
      <alignment horizontal="left" vertical="top" indent="1"/>
      <protection hidden="1"/>
    </xf>
    <xf numFmtId="49" fontId="2" fillId="2" borderId="42" xfId="0" applyNumberFormat="1" applyFont="1" applyFill="1" applyBorder="1" applyAlignment="1" applyProtection="1">
      <alignment horizontal="left" vertical="top" indent="2"/>
      <protection hidden="1"/>
    </xf>
    <xf numFmtId="49" fontId="6" fillId="43" borderId="48" xfId="0" applyNumberFormat="1" applyFont="1" applyFill="1" applyBorder="1" applyAlignment="1" applyProtection="1">
      <alignment horizontal="left" vertical="top"/>
      <protection hidden="1"/>
    </xf>
    <xf numFmtId="49" fontId="2" fillId="10" borderId="41" xfId="0" applyNumberFormat="1" applyFont="1" applyFill="1" applyBorder="1" applyAlignment="1" applyProtection="1">
      <alignment horizontal="left" vertical="top" indent="1"/>
      <protection hidden="1"/>
    </xf>
    <xf numFmtId="0" fontId="2" fillId="10" borderId="41" xfId="0" applyFont="1" applyFill="1" applyBorder="1" applyAlignment="1" applyProtection="1">
      <alignment horizontal="left" vertical="top" indent="1"/>
      <protection hidden="1"/>
    </xf>
    <xf numFmtId="49" fontId="6" fillId="46" borderId="40" xfId="0" applyNumberFormat="1" applyFont="1" applyFill="1" applyBorder="1" applyAlignment="1" applyProtection="1">
      <alignment horizontal="left" vertical="top"/>
      <protection hidden="1"/>
    </xf>
    <xf numFmtId="49" fontId="6" fillId="46" borderId="42" xfId="0" applyNumberFormat="1" applyFont="1" applyFill="1" applyBorder="1" applyAlignment="1" applyProtection="1">
      <alignment horizontal="left" vertical="top"/>
      <protection hidden="1"/>
    </xf>
    <xf numFmtId="0" fontId="2" fillId="46" borderId="26" xfId="0" applyFont="1" applyFill="1" applyBorder="1" applyAlignment="1" applyProtection="1">
      <alignment horizontal="left" vertical="top"/>
      <protection hidden="1"/>
    </xf>
    <xf numFmtId="1" fontId="2" fillId="46" borderId="13" xfId="0" applyNumberFormat="1" applyFont="1" applyFill="1" applyBorder="1" applyAlignment="1" applyProtection="1">
      <alignment horizontal="center" vertical="top"/>
      <protection hidden="1"/>
    </xf>
    <xf numFmtId="1" fontId="2" fillId="46" borderId="21" xfId="0" applyNumberFormat="1" applyFont="1" applyFill="1" applyBorder="1" applyAlignment="1" applyProtection="1">
      <alignment horizontal="center" vertical="top"/>
      <protection hidden="1"/>
    </xf>
    <xf numFmtId="2" fontId="12" fillId="46" borderId="6" xfId="0" applyNumberFormat="1" applyFont="1" applyFill="1" applyBorder="1" applyAlignment="1" applyProtection="1">
      <alignment horizontal="center" vertical="top"/>
      <protection hidden="1"/>
    </xf>
    <xf numFmtId="49" fontId="6" fillId="46" borderId="47" xfId="0" applyNumberFormat="1" applyFont="1" applyFill="1" applyBorder="1" applyAlignment="1" applyProtection="1">
      <alignment horizontal="left" vertical="top"/>
      <protection hidden="1"/>
    </xf>
    <xf numFmtId="0" fontId="2" fillId="46" borderId="16" xfId="0" applyFont="1" applyFill="1" applyBorder="1" applyAlignment="1" applyProtection="1">
      <alignment horizontal="left" vertical="top"/>
      <protection hidden="1"/>
    </xf>
    <xf numFmtId="1" fontId="12" fillId="46" borderId="55" xfId="0" applyNumberFormat="1" applyFont="1" applyFill="1" applyBorder="1" applyAlignment="1" applyProtection="1">
      <alignment horizontal="center" vertical="top"/>
      <protection hidden="1"/>
    </xf>
    <xf numFmtId="1" fontId="12" fillId="46" borderId="56" xfId="0" applyNumberFormat="1" applyFont="1" applyFill="1" applyBorder="1" applyAlignment="1" applyProtection="1">
      <alignment horizontal="center" vertical="top"/>
      <protection hidden="1"/>
    </xf>
    <xf numFmtId="2" fontId="12" fillId="46" borderId="57" xfId="0" applyNumberFormat="1" applyFont="1" applyFill="1" applyBorder="1" applyAlignment="1" applyProtection="1">
      <alignment horizontal="center" vertical="top"/>
      <protection hidden="1"/>
    </xf>
    <xf numFmtId="49" fontId="13" fillId="47" borderId="33" xfId="0" applyNumberFormat="1" applyFont="1" applyFill="1" applyBorder="1" applyAlignment="1" applyProtection="1">
      <alignment horizontal="left" vertical="top"/>
      <protection hidden="1"/>
    </xf>
    <xf numFmtId="0" fontId="13" fillId="47" borderId="36" xfId="0" applyFont="1" applyFill="1" applyBorder="1" applyAlignment="1" applyProtection="1">
      <alignment horizontal="left" vertical="top" wrapText="1"/>
      <protection hidden="1"/>
    </xf>
    <xf numFmtId="0" fontId="13" fillId="47" borderId="36" xfId="0" applyFont="1" applyFill="1" applyBorder="1" applyAlignment="1" applyProtection="1">
      <alignment horizontal="center" vertical="top" wrapText="1"/>
      <protection hidden="1"/>
    </xf>
    <xf numFmtId="1" fontId="69" fillId="47" borderId="36" xfId="0" applyNumberFormat="1" applyFont="1" applyFill="1" applyBorder="1" applyAlignment="1" applyProtection="1">
      <alignment horizontal="center" vertical="top" wrapText="1"/>
      <protection hidden="1"/>
    </xf>
    <xf numFmtId="49" fontId="7" fillId="47" borderId="29" xfId="0" applyNumberFormat="1" applyFont="1" applyFill="1" applyBorder="1" applyAlignment="1" applyProtection="1">
      <alignment horizontal="left" vertical="top" wrapText="1"/>
      <protection hidden="1"/>
    </xf>
    <xf numFmtId="2" fontId="70" fillId="18" borderId="36" xfId="0" applyNumberFormat="1" applyFont="1" applyFill="1" applyBorder="1" applyAlignment="1" applyProtection="1">
      <alignment horizontal="center" vertical="top"/>
      <protection hidden="1"/>
    </xf>
    <xf numFmtId="49" fontId="2" fillId="49" borderId="42" xfId="0" applyNumberFormat="1" applyFont="1" applyFill="1" applyBorder="1" applyAlignment="1" applyProtection="1">
      <alignment horizontal="left" vertical="top" indent="1"/>
      <protection hidden="1"/>
    </xf>
    <xf numFmtId="49" fontId="2" fillId="49" borderId="42" xfId="0" applyNumberFormat="1" applyFont="1" applyFill="1" applyBorder="1" applyAlignment="1" applyProtection="1">
      <alignment horizontal="left" vertical="top"/>
      <protection hidden="1"/>
    </xf>
    <xf numFmtId="0" fontId="2" fillId="49" borderId="26" xfId="0" applyFont="1" applyFill="1" applyBorder="1" applyAlignment="1" applyProtection="1">
      <alignment horizontal="left" vertical="top"/>
      <protection hidden="1"/>
    </xf>
    <xf numFmtId="1" fontId="12" fillId="49" borderId="11" xfId="0" applyNumberFormat="1" applyFont="1" applyFill="1" applyBorder="1" applyAlignment="1" applyProtection="1">
      <alignment horizontal="center" vertical="top"/>
      <protection hidden="1"/>
    </xf>
    <xf numFmtId="1" fontId="12" fillId="49" borderId="12" xfId="0" applyNumberFormat="1" applyFont="1" applyFill="1" applyBorder="1" applyAlignment="1" applyProtection="1">
      <alignment horizontal="center" vertical="top"/>
      <protection hidden="1"/>
    </xf>
    <xf numFmtId="2" fontId="12" fillId="49" borderId="6" xfId="0" applyNumberFormat="1" applyFont="1" applyFill="1" applyBorder="1" applyAlignment="1" applyProtection="1">
      <alignment horizontal="center" vertical="top"/>
      <protection hidden="1"/>
    </xf>
    <xf numFmtId="1" fontId="2" fillId="49" borderId="21" xfId="0" applyNumberFormat="1" applyFont="1" applyFill="1" applyBorder="1" applyAlignment="1" applyProtection="1">
      <alignment horizontal="center" vertical="top"/>
      <protection hidden="1"/>
    </xf>
    <xf numFmtId="0" fontId="47" fillId="7" borderId="0" xfId="0" applyFont="1" applyFill="1" applyAlignment="1" applyProtection="1">
      <alignment horizontal="left" vertical="center"/>
      <protection hidden="1"/>
    </xf>
    <xf numFmtId="0" fontId="48" fillId="7" borderId="0" xfId="0" applyFont="1" applyFill="1" applyAlignment="1" applyProtection="1">
      <alignment horizontal="left" vertical="center"/>
      <protection hidden="1"/>
    </xf>
    <xf numFmtId="2" fontId="2" fillId="7" borderId="0" xfId="0" applyNumberFormat="1" applyFont="1" applyFill="1" applyAlignment="1" applyProtection="1">
      <alignment vertical="top"/>
      <protection hidden="1"/>
    </xf>
    <xf numFmtId="0" fontId="40" fillId="37" borderId="0" xfId="0" applyFont="1" applyFill="1" applyAlignment="1" applyProtection="1">
      <alignment horizontal="center" vertical="center" wrapText="1"/>
      <protection hidden="1"/>
    </xf>
    <xf numFmtId="0" fontId="40" fillId="38" borderId="0" xfId="0" applyFont="1" applyFill="1" applyAlignment="1" applyProtection="1">
      <alignment horizontal="center" vertical="center" wrapText="1"/>
      <protection hidden="1"/>
    </xf>
    <xf numFmtId="0" fontId="40" fillId="39" borderId="0" xfId="0" applyFont="1" applyFill="1" applyAlignment="1" applyProtection="1">
      <alignment horizontal="center" vertical="center" wrapText="1"/>
      <protection hidden="1"/>
    </xf>
    <xf numFmtId="0" fontId="40" fillId="40" borderId="0" xfId="0" applyFont="1" applyFill="1" applyAlignment="1" applyProtection="1">
      <alignment horizontal="center" vertical="center" wrapText="1"/>
      <protection hidden="1"/>
    </xf>
    <xf numFmtId="0" fontId="40" fillId="41" borderId="0" xfId="0" applyFont="1" applyFill="1" applyAlignment="1" applyProtection="1">
      <alignment horizontal="center" vertical="center" wrapText="1"/>
      <protection hidden="1"/>
    </xf>
    <xf numFmtId="0" fontId="19" fillId="16" borderId="0" xfId="0" applyFont="1" applyFill="1" applyAlignment="1" applyProtection="1">
      <alignment horizontal="center" vertical="center"/>
      <protection hidden="1"/>
    </xf>
    <xf numFmtId="0" fontId="53" fillId="16" borderId="0" xfId="0" applyFont="1" applyFill="1" applyAlignment="1" applyProtection="1">
      <alignment vertical="center" wrapText="1"/>
      <protection hidden="1"/>
    </xf>
    <xf numFmtId="0" fontId="36" fillId="2" borderId="0" xfId="0" applyFont="1" applyFill="1" applyAlignment="1" applyProtection="1">
      <alignment horizontal="center" vertical="center"/>
      <protection hidden="1"/>
    </xf>
    <xf numFmtId="0" fontId="35" fillId="2" borderId="0" xfId="0" applyFont="1" applyFill="1" applyAlignment="1" applyProtection="1">
      <alignment horizontal="center" vertical="center"/>
      <protection hidden="1"/>
    </xf>
    <xf numFmtId="0" fontId="13" fillId="17" borderId="6" xfId="0" applyFont="1" applyFill="1" applyBorder="1" applyAlignment="1" applyProtection="1">
      <alignment horizontal="center" vertical="center" wrapText="1"/>
      <protection locked="0" hidden="1"/>
    </xf>
    <xf numFmtId="2" fontId="12" fillId="34" borderId="58" xfId="0" applyNumberFormat="1" applyFont="1" applyFill="1" applyBorder="1" applyAlignment="1" applyProtection="1">
      <alignment horizontal="center" vertical="top"/>
      <protection hidden="1"/>
    </xf>
    <xf numFmtId="0" fontId="29" fillId="2" borderId="0" xfId="0" applyFont="1" applyFill="1" applyAlignment="1" applyProtection="1">
      <alignment horizontal="left" vertical="center" wrapText="1"/>
      <protection hidden="1"/>
    </xf>
    <xf numFmtId="0" fontId="53" fillId="26" borderId="29" xfId="0" applyFont="1" applyFill="1" applyBorder="1" applyAlignment="1" applyProtection="1">
      <alignment horizontal="center" vertical="center"/>
      <protection hidden="1"/>
    </xf>
    <xf numFmtId="0" fontId="53" fillId="26" borderId="30" xfId="0" applyFont="1" applyFill="1" applyBorder="1" applyAlignment="1" applyProtection="1">
      <alignment horizontal="center" vertical="center"/>
      <protection hidden="1"/>
    </xf>
    <xf numFmtId="0" fontId="2" fillId="2" borderId="0" xfId="0" applyFont="1" applyFill="1" applyAlignment="1" applyProtection="1">
      <alignment horizontal="left" vertical="center" indent="2"/>
      <protection hidden="1"/>
    </xf>
    <xf numFmtId="0" fontId="54" fillId="2" borderId="14" xfId="0" applyFont="1" applyFill="1" applyBorder="1" applyAlignment="1" applyProtection="1">
      <alignment horizontal="left" vertical="top" wrapText="1"/>
      <protection hidden="1"/>
    </xf>
    <xf numFmtId="49" fontId="12" fillId="3" borderId="6" xfId="0" applyNumberFormat="1" applyFont="1" applyFill="1" applyBorder="1" applyAlignment="1" applyProtection="1">
      <alignment horizontal="center" vertical="top" wrapText="1"/>
      <protection hidden="1"/>
    </xf>
    <xf numFmtId="189" fontId="2" fillId="17" borderId="15" xfId="0" applyNumberFormat="1" applyFont="1" applyFill="1" applyBorder="1" applyAlignment="1" applyProtection="1">
      <alignment horizontal="center"/>
      <protection locked="0" hidden="1"/>
    </xf>
    <xf numFmtId="189" fontId="2" fillId="17" borderId="10" xfId="0" applyNumberFormat="1" applyFont="1" applyFill="1" applyBorder="1" applyAlignment="1" applyProtection="1">
      <alignment horizontal="center"/>
      <protection locked="0" hidden="1"/>
    </xf>
    <xf numFmtId="0" fontId="2" fillId="2" borderId="0" xfId="0" applyFont="1" applyFill="1" applyAlignment="1" applyProtection="1">
      <alignment horizontal="left" vertical="top" indent="2"/>
      <protection hidden="1"/>
    </xf>
    <xf numFmtId="0" fontId="2" fillId="2" borderId="24" xfId="0" applyFont="1" applyFill="1" applyBorder="1" applyAlignment="1" applyProtection="1">
      <alignment horizontal="left" vertical="top" indent="2"/>
      <protection hidden="1"/>
    </xf>
    <xf numFmtId="0" fontId="54" fillId="2" borderId="0" xfId="0" applyFont="1" applyFill="1" applyAlignment="1" applyProtection="1">
      <alignment horizontal="left" vertical="top" wrapText="1"/>
      <protection hidden="1"/>
    </xf>
    <xf numFmtId="49" fontId="2" fillId="17" borderId="15" xfId="0" applyNumberFormat="1" applyFont="1" applyFill="1" applyBorder="1" applyAlignment="1" applyProtection="1">
      <alignment horizontal="left" vertical="top" wrapText="1"/>
      <protection locked="0" hidden="1"/>
    </xf>
    <xf numFmtId="49" fontId="2" fillId="17" borderId="15" xfId="0" applyNumberFormat="1" applyFont="1" applyFill="1" applyBorder="1" applyAlignment="1" applyProtection="1">
      <alignment horizontal="center" vertical="top"/>
      <protection locked="0" hidden="1"/>
    </xf>
    <xf numFmtId="49" fontId="2" fillId="17" borderId="10" xfId="0" applyNumberFormat="1" applyFont="1" applyFill="1" applyBorder="1" applyAlignment="1" applyProtection="1">
      <alignment horizontal="center" vertical="top"/>
      <protection locked="0" hidden="1"/>
    </xf>
    <xf numFmtId="0" fontId="2" fillId="2" borderId="25" xfId="0" applyFont="1" applyFill="1" applyBorder="1" applyAlignment="1" applyProtection="1">
      <alignment horizontal="left" vertical="top" wrapText="1"/>
      <protection hidden="1"/>
    </xf>
    <xf numFmtId="0" fontId="2" fillId="2" borderId="20" xfId="0" applyFont="1" applyFill="1" applyBorder="1" applyAlignment="1" applyProtection="1">
      <alignment horizontal="left" vertical="top" wrapText="1"/>
      <protection hidden="1"/>
    </xf>
    <xf numFmtId="0" fontId="2" fillId="2" borderId="32" xfId="0" applyFont="1" applyFill="1" applyBorder="1" applyAlignment="1" applyProtection="1">
      <alignment horizontal="left" vertical="top" wrapText="1"/>
      <protection hidden="1"/>
    </xf>
    <xf numFmtId="49" fontId="2" fillId="17" borderId="15" xfId="0" applyNumberFormat="1" applyFont="1" applyFill="1" applyBorder="1" applyAlignment="1" applyProtection="1">
      <alignment horizontal="left" vertical="top"/>
      <protection locked="0" hidden="1"/>
    </xf>
    <xf numFmtId="0" fontId="54" fillId="2" borderId="31" xfId="0" applyFont="1" applyFill="1" applyBorder="1" applyAlignment="1" applyProtection="1">
      <alignment horizontal="left" vertical="top"/>
      <protection hidden="1"/>
    </xf>
    <xf numFmtId="0" fontId="2" fillId="2" borderId="0" xfId="0" applyFont="1" applyFill="1" applyAlignment="1" applyProtection="1">
      <alignment horizontal="left" vertical="top"/>
      <protection locked="0" hidden="1"/>
    </xf>
    <xf numFmtId="0" fontId="27" fillId="2" borderId="0" xfId="0" applyFont="1" applyFill="1" applyAlignment="1" applyProtection="1">
      <alignment horizontal="left" vertical="center" wrapText="1"/>
      <protection hidden="1"/>
    </xf>
    <xf numFmtId="0" fontId="2" fillId="2" borderId="0" xfId="0" applyFont="1" applyFill="1" applyAlignment="1" applyProtection="1">
      <alignment horizontal="left" vertical="top" wrapText="1" indent="2"/>
      <protection hidden="1"/>
    </xf>
    <xf numFmtId="0" fontId="2" fillId="2" borderId="24" xfId="0" applyFont="1" applyFill="1" applyBorder="1" applyAlignment="1" applyProtection="1">
      <alignment horizontal="left" vertical="top" wrapText="1" indent="2"/>
      <protection hidden="1"/>
    </xf>
    <xf numFmtId="49" fontId="2" fillId="17" borderId="6" xfId="0" applyNumberFormat="1" applyFont="1" applyFill="1" applyBorder="1" applyAlignment="1" applyProtection="1">
      <alignment horizontal="left" vertical="top" wrapText="1"/>
      <protection locked="0" hidden="1"/>
    </xf>
    <xf numFmtId="49" fontId="2" fillId="17" borderId="6" xfId="0" applyNumberFormat="1" applyFont="1" applyFill="1" applyBorder="1" applyAlignment="1" applyProtection="1">
      <alignment horizontal="center" vertical="top" wrapText="1"/>
      <protection locked="0" hidden="1"/>
    </xf>
    <xf numFmtId="49" fontId="2" fillId="17" borderId="15" xfId="0" applyNumberFormat="1" applyFont="1" applyFill="1" applyBorder="1" applyAlignment="1" applyProtection="1">
      <alignment horizontal="center" vertical="top" wrapText="1"/>
      <protection locked="0" hidden="1"/>
    </xf>
    <xf numFmtId="49" fontId="2" fillId="17" borderId="10" xfId="0" applyNumberFormat="1" applyFont="1" applyFill="1" applyBorder="1" applyAlignment="1" applyProtection="1">
      <alignment horizontal="center" vertical="top" wrapText="1"/>
      <protection locked="0" hidden="1"/>
    </xf>
    <xf numFmtId="49" fontId="2" fillId="17" borderId="6" xfId="0" applyNumberFormat="1" applyFont="1" applyFill="1" applyBorder="1" applyAlignment="1" applyProtection="1">
      <alignment horizontal="left" vertical="top"/>
      <protection locked="0" hidden="1"/>
    </xf>
    <xf numFmtId="0" fontId="7" fillId="5" borderId="6" xfId="0" applyFont="1" applyFill="1" applyBorder="1" applyAlignment="1" applyProtection="1">
      <alignment horizontal="left" vertical="top"/>
      <protection hidden="1"/>
    </xf>
    <xf numFmtId="0" fontId="2" fillId="2" borderId="4" xfId="0" applyFont="1" applyFill="1" applyBorder="1" applyAlignment="1" applyProtection="1">
      <alignment horizontal="left" vertical="top" wrapText="1" indent="1"/>
      <protection hidden="1"/>
    </xf>
    <xf numFmtId="0" fontId="6" fillId="6" borderId="6" xfId="0" applyFont="1" applyFill="1" applyBorder="1" applyAlignment="1" applyProtection="1">
      <alignment horizontal="center" vertical="top" wrapText="1"/>
      <protection hidden="1"/>
    </xf>
    <xf numFmtId="0" fontId="6" fillId="6" borderId="6" xfId="0" applyFont="1" applyFill="1" applyBorder="1" applyAlignment="1" applyProtection="1">
      <alignment horizontal="center" vertical="top"/>
      <protection hidden="1"/>
    </xf>
    <xf numFmtId="49" fontId="12" fillId="3" borderId="6" xfId="0" applyNumberFormat="1" applyFont="1" applyFill="1" applyBorder="1" applyAlignment="1" applyProtection="1">
      <alignment horizontal="left" vertical="top" wrapText="1"/>
      <protection hidden="1"/>
    </xf>
    <xf numFmtId="0" fontId="2" fillId="6" borderId="15" xfId="0" applyFont="1" applyFill="1" applyBorder="1" applyAlignment="1" applyProtection="1">
      <alignment horizontal="center" vertical="top"/>
      <protection hidden="1"/>
    </xf>
    <xf numFmtId="0" fontId="2" fillId="6" borderId="10" xfId="0" applyFont="1" applyFill="1" applyBorder="1" applyAlignment="1" applyProtection="1">
      <alignment horizontal="center" vertical="top"/>
      <protection hidden="1"/>
    </xf>
    <xf numFmtId="0" fontId="54" fillId="2" borderId="4" xfId="0" applyFont="1" applyFill="1" applyBorder="1" applyAlignment="1" applyProtection="1">
      <alignment horizontal="left" vertical="center" wrapText="1" indent="1"/>
      <protection hidden="1"/>
    </xf>
    <xf numFmtId="0" fontId="54" fillId="2" borderId="0" xfId="0" applyFont="1" applyFill="1" applyAlignment="1" applyProtection="1">
      <alignment horizontal="left" vertical="center" wrapText="1" indent="1"/>
      <protection hidden="1"/>
    </xf>
    <xf numFmtId="0" fontId="7" fillId="5" borderId="29" xfId="0" applyFont="1" applyFill="1" applyBorder="1" applyAlignment="1" applyProtection="1">
      <alignment horizontal="center" vertical="center" wrapText="1"/>
      <protection hidden="1"/>
    </xf>
    <xf numFmtId="0" fontId="7" fillId="5" borderId="34" xfId="0" applyFont="1" applyFill="1" applyBorder="1" applyAlignment="1" applyProtection="1">
      <alignment horizontal="center" vertical="center" wrapText="1"/>
      <protection hidden="1"/>
    </xf>
    <xf numFmtId="49" fontId="51" fillId="17" borderId="35" xfId="0" applyNumberFormat="1" applyFont="1" applyFill="1" applyBorder="1" applyAlignment="1" applyProtection="1">
      <alignment horizontal="center" vertical="center" wrapText="1"/>
      <protection locked="0" hidden="1"/>
    </xf>
    <xf numFmtId="49" fontId="51" fillId="17" borderId="36" xfId="0" applyNumberFormat="1" applyFont="1" applyFill="1" applyBorder="1" applyAlignment="1" applyProtection="1">
      <alignment horizontal="center" vertical="center" wrapText="1"/>
      <protection locked="0" hidden="1"/>
    </xf>
    <xf numFmtId="49" fontId="51" fillId="17" borderId="30" xfId="0" applyNumberFormat="1" applyFont="1" applyFill="1" applyBorder="1" applyAlignment="1" applyProtection="1">
      <alignment horizontal="center" vertical="center" wrapText="1"/>
      <protection locked="0" hidden="1"/>
    </xf>
    <xf numFmtId="0" fontId="2" fillId="6" borderId="33" xfId="0" applyFont="1" applyFill="1" applyBorder="1" applyAlignment="1" applyProtection="1">
      <alignment horizontal="center" vertical="top"/>
      <protection hidden="1"/>
    </xf>
    <xf numFmtId="0" fontId="6" fillId="10" borderId="0" xfId="0" applyFont="1" applyFill="1" applyAlignment="1" applyProtection="1">
      <alignment horizontal="left" vertical="center" wrapText="1"/>
      <protection hidden="1"/>
    </xf>
    <xf numFmtId="0" fontId="6" fillId="10" borderId="0" xfId="0" applyFont="1" applyFill="1" applyAlignment="1" applyProtection="1">
      <alignment horizontal="right" vertical="center"/>
      <protection hidden="1"/>
    </xf>
    <xf numFmtId="0" fontId="2" fillId="10" borderId="0" xfId="0" applyFont="1" applyFill="1" applyAlignment="1" applyProtection="1">
      <alignment horizontal="left" vertical="top" wrapText="1"/>
      <protection hidden="1"/>
    </xf>
    <xf numFmtId="0" fontId="65" fillId="2" borderId="2" xfId="0" applyFont="1" applyFill="1" applyBorder="1" applyAlignment="1" applyProtection="1">
      <alignment horizontal="left" wrapText="1"/>
      <protection hidden="1"/>
    </xf>
    <xf numFmtId="0" fontId="65" fillId="2" borderId="2" xfId="0" applyFont="1" applyFill="1" applyBorder="1" applyAlignment="1" applyProtection="1">
      <alignment horizontal="left"/>
      <protection hidden="1"/>
    </xf>
    <xf numFmtId="0" fontId="2" fillId="10" borderId="0" xfId="0" applyFont="1" applyFill="1" applyAlignment="1" applyProtection="1">
      <alignment horizontal="left" vertical="center" wrapText="1"/>
      <protection hidden="1"/>
    </xf>
    <xf numFmtId="0" fontId="12" fillId="2" borderId="16" xfId="0" applyFont="1" applyFill="1" applyBorder="1" applyAlignment="1" applyProtection="1">
      <alignment horizontal="left" vertical="top" wrapText="1"/>
      <protection hidden="1"/>
    </xf>
    <xf numFmtId="0" fontId="12" fillId="2" borderId="0" xfId="0" quotePrefix="1" applyFont="1" applyFill="1" applyAlignment="1" applyProtection="1">
      <alignment horizontal="left" vertical="top" wrapText="1"/>
      <protection hidden="1"/>
    </xf>
    <xf numFmtId="0" fontId="17" fillId="2" borderId="0" xfId="0" applyFont="1" applyFill="1" applyAlignment="1" applyProtection="1">
      <alignment horizontal="left" vertical="center" wrapText="1"/>
      <protection hidden="1"/>
    </xf>
    <xf numFmtId="0" fontId="35" fillId="0" borderId="0" xfId="0" applyFont="1" applyAlignment="1" applyProtection="1">
      <alignment horizontal="left" vertical="top" wrapText="1"/>
      <protection hidden="1"/>
    </xf>
    <xf numFmtId="0" fontId="40" fillId="0" borderId="0" xfId="0" applyFont="1" applyAlignment="1" applyProtection="1">
      <alignment horizontal="left"/>
      <protection hidden="1"/>
    </xf>
    <xf numFmtId="0" fontId="15" fillId="20" borderId="46" xfId="0" applyFont="1" applyFill="1" applyBorder="1" applyAlignment="1" applyProtection="1">
      <alignment horizontal="center" vertical="top" wrapText="1"/>
      <protection hidden="1"/>
    </xf>
    <xf numFmtId="0" fontId="15" fillId="20" borderId="13" xfId="0" applyFont="1" applyFill="1" applyBorder="1" applyAlignment="1" applyProtection="1">
      <alignment horizontal="center" vertical="top" wrapText="1"/>
      <protection hidden="1"/>
    </xf>
    <xf numFmtId="0" fontId="7" fillId="19" borderId="15" xfId="0" applyFont="1" applyFill="1" applyBorder="1" applyAlignment="1" applyProtection="1">
      <alignment horizontal="center" vertical="top" wrapText="1"/>
      <protection hidden="1"/>
    </xf>
    <xf numFmtId="0" fontId="7" fillId="19" borderId="26" xfId="0" applyFont="1" applyFill="1" applyBorder="1" applyAlignment="1" applyProtection="1">
      <alignment horizontal="center" vertical="top" wrapText="1"/>
      <protection hidden="1"/>
    </xf>
    <xf numFmtId="0" fontId="7" fillId="19" borderId="10" xfId="0" applyFont="1" applyFill="1" applyBorder="1" applyAlignment="1" applyProtection="1">
      <alignment horizontal="center" vertical="top" wrapText="1"/>
      <protection hidden="1"/>
    </xf>
    <xf numFmtId="0" fontId="15" fillId="20" borderId="18" xfId="0" applyFont="1" applyFill="1" applyBorder="1" applyAlignment="1" applyProtection="1">
      <alignment horizontal="center" vertical="center" wrapText="1"/>
      <protection hidden="1"/>
    </xf>
    <xf numFmtId="0" fontId="15" fillId="20" borderId="32" xfId="0" applyFont="1" applyFill="1" applyBorder="1" applyAlignment="1" applyProtection="1">
      <alignment horizontal="center" vertical="center" wrapText="1"/>
      <protection hidden="1"/>
    </xf>
    <xf numFmtId="0" fontId="15" fillId="18" borderId="40" xfId="0" applyFont="1" applyFill="1" applyBorder="1" applyAlignment="1" applyProtection="1">
      <alignment horizontal="center" vertical="center" wrapText="1"/>
      <protection hidden="1"/>
    </xf>
    <xf numFmtId="0" fontId="15" fillId="18" borderId="42" xfId="0" applyFont="1" applyFill="1" applyBorder="1" applyAlignment="1" applyProtection="1">
      <alignment horizontal="center" vertical="center" wrapText="1"/>
      <protection hidden="1"/>
    </xf>
    <xf numFmtId="0" fontId="15" fillId="18" borderId="26" xfId="0" applyFont="1" applyFill="1" applyBorder="1" applyAlignment="1" applyProtection="1">
      <alignment horizontal="center" vertical="top" wrapText="1"/>
      <protection hidden="1"/>
    </xf>
    <xf numFmtId="0" fontId="7" fillId="12" borderId="49" xfId="0" applyFont="1" applyFill="1" applyBorder="1" applyAlignment="1" applyProtection="1">
      <alignment horizontal="center" vertical="top" wrapText="1"/>
      <protection hidden="1"/>
    </xf>
    <xf numFmtId="0" fontId="7" fillId="12" borderId="50" xfId="0" applyFont="1" applyFill="1" applyBorder="1" applyAlignment="1" applyProtection="1">
      <alignment horizontal="center" vertical="top" wrapText="1"/>
      <protection hidden="1"/>
    </xf>
    <xf numFmtId="0" fontId="7" fillId="12" borderId="51" xfId="0" applyFont="1" applyFill="1" applyBorder="1" applyAlignment="1" applyProtection="1">
      <alignment horizontal="center" vertical="top" wrapText="1"/>
      <protection hidden="1"/>
    </xf>
    <xf numFmtId="0" fontId="7" fillId="19" borderId="49" xfId="0" applyFont="1" applyFill="1" applyBorder="1" applyAlignment="1" applyProtection="1">
      <alignment horizontal="center" vertical="top" wrapText="1"/>
      <protection hidden="1"/>
    </xf>
    <xf numFmtId="0" fontId="7" fillId="19" borderId="50" xfId="0" applyFont="1" applyFill="1" applyBorder="1" applyAlignment="1" applyProtection="1">
      <alignment horizontal="center" vertical="top" wrapText="1"/>
      <protection hidden="1"/>
    </xf>
    <xf numFmtId="0" fontId="7" fillId="19" borderId="51" xfId="0" applyFont="1" applyFill="1" applyBorder="1" applyAlignment="1" applyProtection="1">
      <alignment horizontal="center" vertical="top" wrapText="1"/>
      <protection hidden="1"/>
    </xf>
    <xf numFmtId="0" fontId="15" fillId="5" borderId="46" xfId="0" applyFont="1" applyFill="1" applyBorder="1" applyAlignment="1" applyProtection="1">
      <alignment horizontal="center" vertical="top" wrapText="1"/>
      <protection hidden="1"/>
    </xf>
    <xf numFmtId="0" fontId="7" fillId="15" borderId="15" xfId="0" applyFont="1" applyFill="1" applyBorder="1" applyAlignment="1" applyProtection="1">
      <alignment horizontal="center" vertical="top" wrapText="1"/>
      <protection hidden="1"/>
    </xf>
    <xf numFmtId="0" fontId="7" fillId="15" borderId="26" xfId="0" applyFont="1" applyFill="1" applyBorder="1" applyAlignment="1" applyProtection="1">
      <alignment horizontal="center" vertical="top" wrapText="1"/>
      <protection hidden="1"/>
    </xf>
    <xf numFmtId="0" fontId="7" fillId="15" borderId="10" xfId="0" applyFont="1" applyFill="1" applyBorder="1" applyAlignment="1" applyProtection="1">
      <alignment horizontal="center" vertical="top" wrapText="1"/>
      <protection hidden="1"/>
    </xf>
    <xf numFmtId="0" fontId="15" fillId="5" borderId="23" xfId="0" applyFont="1" applyFill="1" applyBorder="1" applyAlignment="1" applyProtection="1">
      <alignment horizontal="center" vertical="top" wrapText="1"/>
      <protection hidden="1"/>
    </xf>
    <xf numFmtId="0" fontId="15" fillId="5" borderId="12" xfId="0" applyFont="1" applyFill="1" applyBorder="1" applyAlignment="1" applyProtection="1">
      <alignment horizontal="center" vertical="top" wrapText="1"/>
      <protection hidden="1"/>
    </xf>
    <xf numFmtId="0" fontId="15" fillId="5" borderId="52" xfId="0" applyFont="1" applyFill="1" applyBorder="1" applyAlignment="1" applyProtection="1">
      <alignment horizontal="center" vertical="center" wrapText="1"/>
      <protection hidden="1"/>
    </xf>
    <xf numFmtId="0" fontId="15" fillId="5" borderId="53" xfId="0" applyFont="1" applyFill="1" applyBorder="1" applyAlignment="1" applyProtection="1">
      <alignment horizontal="center" vertical="center" wrapText="1"/>
      <protection hidden="1"/>
    </xf>
    <xf numFmtId="0" fontId="53" fillId="16" borderId="0" xfId="0" applyFont="1" applyFill="1" applyAlignment="1" applyProtection="1">
      <alignment horizontal="left" vertical="center" wrapText="1"/>
      <protection hidden="1"/>
    </xf>
    <xf numFmtId="0" fontId="15" fillId="18" borderId="47" xfId="0" applyFont="1" applyFill="1" applyBorder="1" applyAlignment="1" applyProtection="1">
      <alignment horizontal="center" vertical="center" wrapText="1"/>
      <protection hidden="1"/>
    </xf>
    <xf numFmtId="0" fontId="7" fillId="48" borderId="49" xfId="0" applyFont="1" applyFill="1" applyBorder="1" applyAlignment="1" applyProtection="1">
      <alignment horizontal="center" vertical="top" wrapText="1"/>
      <protection hidden="1"/>
    </xf>
    <xf numFmtId="0" fontId="7" fillId="48" borderId="50" xfId="0" applyFont="1" applyFill="1" applyBorder="1" applyAlignment="1" applyProtection="1">
      <alignment horizontal="center" vertical="top" wrapText="1"/>
      <protection hidden="1"/>
    </xf>
    <xf numFmtId="0" fontId="7" fillId="48" borderId="60" xfId="0" applyFont="1" applyFill="1" applyBorder="1" applyAlignment="1" applyProtection="1">
      <alignment horizontal="center" vertical="top" wrapText="1"/>
      <protection hidden="1"/>
    </xf>
    <xf numFmtId="0" fontId="7" fillId="48" borderId="51" xfId="0" applyFont="1" applyFill="1" applyBorder="1" applyAlignment="1" applyProtection="1">
      <alignment horizontal="center" vertical="top" wrapText="1"/>
      <protection hidden="1"/>
    </xf>
    <xf numFmtId="0" fontId="15" fillId="47" borderId="46" xfId="0" applyFont="1" applyFill="1" applyBorder="1" applyAlignment="1" applyProtection="1">
      <alignment horizontal="center" vertical="top" wrapText="1"/>
      <protection hidden="1"/>
    </xf>
    <xf numFmtId="0" fontId="7" fillId="47" borderId="15" xfId="0" applyFont="1" applyFill="1" applyBorder="1" applyAlignment="1" applyProtection="1">
      <alignment horizontal="center" vertical="top" wrapText="1"/>
      <protection hidden="1"/>
    </xf>
    <xf numFmtId="0" fontId="7" fillId="47" borderId="26" xfId="0" applyFont="1" applyFill="1" applyBorder="1" applyAlignment="1" applyProtection="1">
      <alignment horizontal="center" vertical="top" wrapText="1"/>
      <protection hidden="1"/>
    </xf>
    <xf numFmtId="0" fontId="7" fillId="47" borderId="10" xfId="0" applyFont="1" applyFill="1" applyBorder="1" applyAlignment="1" applyProtection="1">
      <alignment horizontal="center" vertical="top" wrapText="1"/>
      <protection hidden="1"/>
    </xf>
    <xf numFmtId="0" fontId="15" fillId="47" borderId="23" xfId="0" applyFont="1" applyFill="1" applyBorder="1" applyAlignment="1" applyProtection="1">
      <alignment horizontal="center" vertical="center" wrapText="1"/>
      <protection hidden="1"/>
    </xf>
    <xf numFmtId="0" fontId="15" fillId="47" borderId="12" xfId="0" applyFont="1" applyFill="1" applyBorder="1" applyAlignment="1" applyProtection="1">
      <alignment horizontal="center" vertical="center" wrapText="1"/>
      <protection hidden="1"/>
    </xf>
    <xf numFmtId="0" fontId="15" fillId="47" borderId="52" xfId="0" applyFont="1" applyFill="1" applyBorder="1" applyAlignment="1" applyProtection="1">
      <alignment horizontal="center" vertical="center" wrapText="1"/>
      <protection hidden="1"/>
    </xf>
    <xf numFmtId="0" fontId="15" fillId="47" borderId="53" xfId="0" applyFont="1" applyFill="1" applyBorder="1" applyAlignment="1" applyProtection="1">
      <alignment horizontal="center" vertical="center" wrapText="1"/>
      <protection hidden="1"/>
    </xf>
  </cellXfs>
  <cellStyles count="3">
    <cellStyle name="Comma" xfId="1" builtinId="3"/>
    <cellStyle name="Normal" xfId="0" builtinId="0"/>
    <cellStyle name="Percent" xfId="2" builtinId="5"/>
  </cellStyles>
  <dxfs count="35">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theme="7" tint="0.79998168889431442"/>
        </patternFill>
      </fill>
      <border>
        <left style="thin">
          <color auto="1"/>
        </left>
        <right style="thin">
          <color auto="1"/>
        </right>
        <top style="thin">
          <color auto="1"/>
        </top>
        <bottom style="thin">
          <color auto="1"/>
        </bottom>
        <vertical/>
        <horizontal/>
      </border>
    </dxf>
    <dxf>
      <font>
        <b val="0"/>
        <strike val="0"/>
        <outline val="0"/>
        <shadow val="0"/>
        <u val="none"/>
        <vertAlign val="baseline"/>
        <sz val="10"/>
        <color auto="1"/>
        <name val="Tahoma"/>
        <family val="2"/>
        <scheme val="major"/>
      </font>
      <alignment textRotation="0" wrapText="1" indent="0" justifyLastLine="0" shrinkToFit="0" readingOrder="0"/>
      <border diagonalUp="0" diagonalDown="0">
        <left style="thin">
          <color indexed="64"/>
        </left>
        <right style="thin">
          <color indexed="64"/>
        </right>
      </border>
      <protection locked="1" hidden="0"/>
    </dxf>
    <dxf>
      <font>
        <b val="0"/>
        <strike val="0"/>
        <outline val="0"/>
        <shadow val="0"/>
        <u val="none"/>
        <vertAlign val="baseline"/>
        <sz val="10"/>
        <color auto="1"/>
        <name val="Tahoma"/>
        <family val="2"/>
        <scheme val="major"/>
      </font>
      <alignment textRotation="0" wrapText="1" indent="0" justifyLastLine="0" shrinkToFit="0" readingOrder="0"/>
      <protection locked="1" hidden="0"/>
    </dxf>
    <dxf>
      <font>
        <b val="0"/>
        <i val="0"/>
        <strike val="0"/>
        <condense val="0"/>
        <extend val="0"/>
        <outline val="0"/>
        <shadow val="0"/>
        <u val="none"/>
        <vertAlign val="baseline"/>
        <sz val="10"/>
        <color auto="1"/>
        <name val="Tahoma"/>
        <family val="2"/>
        <scheme val="major"/>
      </font>
      <fill>
        <patternFill patternType="solid">
          <fgColor indexed="64"/>
          <bgColor theme="0"/>
        </patternFill>
      </fill>
      <alignment horizontal="left" vertical="top" textRotation="0" wrapText="1" relativeIndent="-1" justifyLastLine="0" shrinkToFit="0" readingOrder="0"/>
      <border diagonalUp="0" diagonalDown="0">
        <left style="thin">
          <color theme="4" tint="0.39997558519241921"/>
        </left>
        <right/>
        <top style="thin">
          <color theme="4" tint="0.39997558519241921"/>
        </top>
        <bottom/>
      </border>
      <protection locked="1" hidden="0"/>
    </dxf>
    <dxf>
      <border outline="0">
        <right style="thin">
          <color indexed="64"/>
        </right>
        <top style="thin">
          <color indexed="64"/>
        </top>
      </border>
    </dxf>
    <dxf>
      <font>
        <b val="0"/>
        <strike val="0"/>
        <outline val="0"/>
        <shadow val="0"/>
        <u val="none"/>
        <vertAlign val="baseline"/>
        <sz val="10"/>
        <color auto="1"/>
        <name val="Tahoma"/>
        <family val="2"/>
        <scheme val="major"/>
      </font>
      <protection locked="1" hidden="0"/>
    </dxf>
    <dxf>
      <font>
        <b val="0"/>
        <i val="0"/>
        <strike val="0"/>
        <condense val="0"/>
        <extend val="0"/>
        <outline val="0"/>
        <shadow val="0"/>
        <u val="none"/>
        <vertAlign val="baseline"/>
        <sz val="10"/>
        <color theme="0"/>
        <name val="Tahoma"/>
        <family val="2"/>
        <scheme val="major"/>
      </font>
      <fill>
        <patternFill patternType="solid">
          <fgColor theme="4"/>
          <bgColor theme="8" tint="-0.499984740745262"/>
        </patternFill>
      </fill>
      <alignment horizontal="center" vertical="top" textRotation="0" wrapText="0" indent="0" justifyLastLine="0" shrinkToFit="0" readingOrder="0"/>
      <protection locked="1" hidden="0"/>
    </dxf>
  </dxfs>
  <tableStyles count="0" defaultTableStyle="TableStyleMedium2" defaultPivotStyle="PivotStyleMedium9"/>
  <colors>
    <mruColors>
      <color rgb="FFFFB793"/>
      <color rgb="FFFAC56E"/>
      <color rgb="FFCCCCFF"/>
      <color rgb="FFB2F7EF"/>
      <color rgb="FFFFFFCC"/>
      <color rgb="FFAFE9FF"/>
      <color rgb="FF99FF99"/>
      <color rgb="FFA8E6CF"/>
      <color rgb="FFE0FFCC"/>
      <color rgb="FFFFC1C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21" Type="http://schemas.openxmlformats.org/officeDocument/2006/relationships/worksheet" Target="worksheets/sheet21.xml"/><Relationship Id="rId34"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33"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microsoft.com/office/2022/10/relationships/richValueRel" Target="richData/richValueRel.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microsoft.com/office/2017/06/relationships/rdRichValueTypes" Target="richData/rdRichValueTypes.xml"/><Relationship Id="rId37" Type="http://schemas.openxmlformats.org/officeDocument/2006/relationships/customXml" Target="../customXml/item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eetMetadata" Target="metadata.xml"/><Relationship Id="rId36"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31" Type="http://schemas.microsoft.com/office/2017/06/relationships/rdRichValueStructure" Target="richData/rdrichvaluestructure.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 Id="rId30" Type="http://schemas.microsoft.com/office/2017/06/relationships/rdRichValue" Target="richData/rdrichvalue.xml"/><Relationship Id="rId35" Type="http://schemas.openxmlformats.org/officeDocument/2006/relationships/customXml" Target="../customXml/item2.xml"/><Relationship Id="rId8" Type="http://schemas.openxmlformats.org/officeDocument/2006/relationships/worksheet" Target="worksheets/sheet8.xml"/><Relationship Id="rId3" Type="http://schemas.openxmlformats.org/officeDocument/2006/relationships/worksheet" Target="worksheets/sheet3.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rtl="0">
              <a:defRPr lang="th-TH" sz="20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defRPr>
            </a:pPr>
            <a:r>
              <a:rPr lang="th-TH" sz="16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การจัดให้มีมาตรการควบคุมขั้นต่ำ (3 = เป็นไปตามความคาดหวังของสำนักงาน)</a:t>
            </a:r>
          </a:p>
        </c:rich>
      </c:tx>
      <c:layout>
        <c:manualLayout>
          <c:xMode val="edge"/>
          <c:yMode val="edge"/>
          <c:x val="0.19331314379601292"/>
          <c:y val="3.0466743127758746E-2"/>
        </c:manualLayout>
      </c:layout>
      <c:overlay val="0"/>
      <c:spPr>
        <a:noFill/>
        <a:ln>
          <a:noFill/>
        </a:ln>
        <a:effectLst/>
      </c:spPr>
      <c:txPr>
        <a:bodyPr rot="0" spcFirstLastPara="1" vertOverflow="ellipsis" vert="horz" wrap="square" anchor="ctr" anchorCtr="1"/>
        <a:lstStyle/>
        <a:p>
          <a:pPr algn="ctr" rtl="0">
            <a:defRPr lang="th-TH" sz="20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defRPr>
          </a:pPr>
          <a:endParaRPr lang="th-TH"/>
        </a:p>
      </c:txPr>
    </c:title>
    <c:autoTitleDeleted val="0"/>
    <c:plotArea>
      <c:layout>
        <c:manualLayout>
          <c:layoutTarget val="inner"/>
          <c:xMode val="edge"/>
          <c:yMode val="edge"/>
          <c:x val="0.25049275224414708"/>
          <c:y val="0.17419644691053585"/>
          <c:w val="0.44405701677478976"/>
          <c:h val="0.71452854450161796"/>
        </c:manualLayout>
      </c:layout>
      <c:radarChart>
        <c:radarStyle val="filled"/>
        <c:varyColors val="0"/>
        <c:ser>
          <c:idx val="0"/>
          <c:order val="0"/>
          <c:spPr>
            <a:solidFill>
              <a:srgbClr val="FFE5E6"/>
            </a:solidFill>
            <a:ln>
              <a:noFill/>
            </a:ln>
            <a:effectLst/>
          </c:spPr>
          <c:cat>
            <c:strRef>
              <c:extLst>
                <c:ext xmlns:c15="http://schemas.microsoft.com/office/drawing/2012/chart" uri="{02D57815-91ED-43cb-92C2-25804820EDAC}">
                  <c15:fullRef>
                    <c15:sqref>'6. Result'!$B$6:$B$36</c15:sqref>
                  </c15:fullRef>
                </c:ext>
              </c:extLst>
              <c:f>('6. Result'!$B$6,'6. Result'!$B$11:$B$12,'6. Result'!$B$15:$B$20,'6. Result'!$B$32:$B$36)</c:f>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xmlns:c15="http://schemas.microsoft.com/office/drawing/2012/chart" uri="{02D57815-91ED-43cb-92C2-25804820EDAC}">
                  <c15:fullRef>
                    <c15:sqref>'6. Result'!$AF$6:$AF$36</c15:sqref>
                  </c15:fullRef>
                </c:ext>
              </c:extLst>
              <c:f>('6. Result'!$AF$6,'6. Result'!$AF$11:$AF$12,'6. Result'!$AF$15:$AF$20,'6. Result'!$AF$32:$AF$36)</c:f>
              <c:numCache>
                <c:formatCode>General</c:formatCode>
                <c:ptCount val="14"/>
                <c:pt idx="0">
                  <c:v>3</c:v>
                </c:pt>
                <c:pt idx="1">
                  <c:v>3</c:v>
                </c:pt>
                <c:pt idx="2">
                  <c:v>3</c:v>
                </c:pt>
                <c:pt idx="3">
                  <c:v>3</c:v>
                </c:pt>
                <c:pt idx="4">
                  <c:v>3</c:v>
                </c:pt>
                <c:pt idx="5">
                  <c:v>3</c:v>
                </c:pt>
                <c:pt idx="6">
                  <c:v>3</c:v>
                </c:pt>
                <c:pt idx="7">
                  <c:v>3</c:v>
                </c:pt>
                <c:pt idx="8">
                  <c:v>3</c:v>
                </c:pt>
                <c:pt idx="9">
                  <c:v>3</c:v>
                </c:pt>
                <c:pt idx="10">
                  <c:v>3</c:v>
                </c:pt>
                <c:pt idx="11">
                  <c:v>3</c:v>
                </c:pt>
                <c:pt idx="12">
                  <c:v>3</c:v>
                </c:pt>
                <c:pt idx="13">
                  <c:v>3</c:v>
                </c:pt>
              </c:numCache>
            </c:numRef>
          </c:val>
          <c:extLst>
            <c:ext xmlns:c16="http://schemas.microsoft.com/office/drawing/2014/chart" uri="{C3380CC4-5D6E-409C-BE32-E72D297353CC}">
              <c16:uniqueId val="{00000000-3D52-481F-90BA-3860ADE660CB}"/>
            </c:ext>
          </c:extLst>
        </c:ser>
        <c:ser>
          <c:idx val="1"/>
          <c:order val="1"/>
          <c:spPr>
            <a:solidFill>
              <a:srgbClr val="FFB3B5"/>
            </a:solidFill>
            <a:ln>
              <a:noFill/>
            </a:ln>
            <a:effectLst/>
          </c:spPr>
          <c:cat>
            <c:strRef>
              <c:extLst>
                <c:ext xmlns:c15="http://schemas.microsoft.com/office/drawing/2012/chart" uri="{02D57815-91ED-43cb-92C2-25804820EDAC}">
                  <c15:fullRef>
                    <c15:sqref>'6. Result'!$B$6:$B$36</c15:sqref>
                  </c15:fullRef>
                </c:ext>
              </c:extLst>
              <c:f>('6. Result'!$B$6,'6. Result'!$B$11:$B$12,'6. Result'!$B$15:$B$20,'6. Result'!$B$32:$B$36)</c:f>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xmlns:c15="http://schemas.microsoft.com/office/drawing/2012/chart" uri="{02D57815-91ED-43cb-92C2-25804820EDAC}">
                  <c15:fullRef>
                    <c15:sqref>'6. Result'!$AG$6:$AG$36</c15:sqref>
                  </c15:fullRef>
                </c:ext>
              </c:extLst>
              <c:f>('6. Result'!$AG$6,'6. Result'!$AG$11:$AG$12,'6. Result'!$AG$15:$AG$20,'6. Result'!$AG$32:$AG$36)</c:f>
              <c:numCache>
                <c:formatCode>General</c:formatCode>
                <c:ptCount val="14"/>
                <c:pt idx="0">
                  <c:v>2</c:v>
                </c:pt>
                <c:pt idx="1">
                  <c:v>2</c:v>
                </c:pt>
                <c:pt idx="2">
                  <c:v>2</c:v>
                </c:pt>
                <c:pt idx="3">
                  <c:v>2</c:v>
                </c:pt>
                <c:pt idx="4">
                  <c:v>2</c:v>
                </c:pt>
                <c:pt idx="5">
                  <c:v>2</c:v>
                </c:pt>
                <c:pt idx="6">
                  <c:v>2</c:v>
                </c:pt>
                <c:pt idx="7">
                  <c:v>2</c:v>
                </c:pt>
                <c:pt idx="8">
                  <c:v>2</c:v>
                </c:pt>
                <c:pt idx="9">
                  <c:v>2</c:v>
                </c:pt>
                <c:pt idx="10">
                  <c:v>2</c:v>
                </c:pt>
                <c:pt idx="11">
                  <c:v>2</c:v>
                </c:pt>
                <c:pt idx="12">
                  <c:v>2</c:v>
                </c:pt>
                <c:pt idx="13">
                  <c:v>2</c:v>
                </c:pt>
              </c:numCache>
            </c:numRef>
          </c:val>
          <c:extLst>
            <c:ext xmlns:c16="http://schemas.microsoft.com/office/drawing/2014/chart" uri="{C3380CC4-5D6E-409C-BE32-E72D297353CC}">
              <c16:uniqueId val="{00000001-3D52-481F-90BA-3860ADE660CB}"/>
            </c:ext>
          </c:extLst>
        </c:ser>
        <c:ser>
          <c:idx val="2"/>
          <c:order val="2"/>
          <c:spPr>
            <a:solidFill>
              <a:srgbClr val="FF5050"/>
            </a:solidFill>
            <a:ln>
              <a:noFill/>
            </a:ln>
            <a:effectLst/>
          </c:spPr>
          <c:cat>
            <c:strRef>
              <c:extLst>
                <c:ext xmlns:c15="http://schemas.microsoft.com/office/drawing/2012/chart" uri="{02D57815-91ED-43cb-92C2-25804820EDAC}">
                  <c15:fullRef>
                    <c15:sqref>'6. Result'!$B$6:$B$36</c15:sqref>
                  </c15:fullRef>
                </c:ext>
              </c:extLst>
              <c:f>('6. Result'!$B$6,'6. Result'!$B$11:$B$12,'6. Result'!$B$15:$B$20,'6. Result'!$B$32:$B$36)</c:f>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xmlns:c15="http://schemas.microsoft.com/office/drawing/2012/chart" uri="{02D57815-91ED-43cb-92C2-25804820EDAC}">
                  <c15:fullRef>
                    <c15:sqref>'6. Result'!$AH$6:$AH$36</c15:sqref>
                  </c15:fullRef>
                </c:ext>
              </c:extLst>
              <c:f>('6. Result'!$AH$6,'6. Result'!$AH$11:$AH$12,'6. Result'!$AH$15:$AH$20,'6. Result'!$AH$32:$AH$36)</c:f>
              <c:numCache>
                <c:formatCode>General</c:formatCode>
                <c:ptCount val="14"/>
                <c:pt idx="0">
                  <c:v>1</c:v>
                </c:pt>
                <c:pt idx="1">
                  <c:v>1</c:v>
                </c:pt>
                <c:pt idx="2">
                  <c:v>1</c:v>
                </c:pt>
                <c:pt idx="3">
                  <c:v>1</c:v>
                </c:pt>
                <c:pt idx="4">
                  <c:v>1</c:v>
                </c:pt>
                <c:pt idx="5">
                  <c:v>1</c:v>
                </c:pt>
                <c:pt idx="6">
                  <c:v>1</c:v>
                </c:pt>
                <c:pt idx="7">
                  <c:v>1</c:v>
                </c:pt>
                <c:pt idx="8">
                  <c:v>1</c:v>
                </c:pt>
                <c:pt idx="9">
                  <c:v>1</c:v>
                </c:pt>
                <c:pt idx="10">
                  <c:v>1</c:v>
                </c:pt>
                <c:pt idx="11">
                  <c:v>1</c:v>
                </c:pt>
                <c:pt idx="12">
                  <c:v>1</c:v>
                </c:pt>
                <c:pt idx="13">
                  <c:v>1</c:v>
                </c:pt>
              </c:numCache>
            </c:numRef>
          </c:val>
          <c:extLst>
            <c:ext xmlns:c16="http://schemas.microsoft.com/office/drawing/2014/chart" uri="{C3380CC4-5D6E-409C-BE32-E72D297353CC}">
              <c16:uniqueId val="{00000002-3D52-481F-90BA-3860ADE660CB}"/>
            </c:ext>
          </c:extLst>
        </c:ser>
        <c:ser>
          <c:idx val="3"/>
          <c:order val="3"/>
          <c:tx>
            <c:v>Mandatory score</c:v>
          </c:tx>
          <c:spPr>
            <a:noFill/>
            <a:ln w="28575">
              <a:solidFill>
                <a:schemeClr val="tx1"/>
              </a:solidFill>
            </a:ln>
            <a:effectLst/>
          </c:spPr>
          <c:dLbls>
            <c:numFmt formatCode="0.00" sourceLinked="0"/>
            <c:spPr>
              <a:noFill/>
              <a:ln>
                <a:noFill/>
              </a:ln>
              <a:effectLst/>
            </c:spPr>
            <c:txPr>
              <a:bodyPr rot="0" spcFirstLastPara="1" vertOverflow="overflow" horzOverflow="overflow"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th-TH"/>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extLst>
                <c:ext xmlns:c15="http://schemas.microsoft.com/office/drawing/2012/chart" uri="{02D57815-91ED-43cb-92C2-25804820EDAC}">
                  <c15:fullRef>
                    <c15:sqref>'6. Result'!$B$6:$B$36</c15:sqref>
                  </c15:fullRef>
                </c:ext>
              </c:extLst>
              <c:f>('6. Result'!$B$6,'6. Result'!$B$11:$B$12,'6. Result'!$B$15:$B$20,'6. Result'!$B$32:$B$36)</c:f>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xmlns:c15="http://schemas.microsoft.com/office/drawing/2012/chart" uri="{02D57815-91ED-43cb-92C2-25804820EDAC}">
                  <c15:fullRef>
                    <c15:sqref>'6. Result'!$K$6:$K$36</c15:sqref>
                  </c15:fullRef>
                </c:ext>
              </c:extLst>
              <c:f>('6. Result'!$K$6,'6. Result'!$K$11:$K$12,'6. Result'!$K$15:$K$20,'6. Result'!$K$32:$K$36)</c:f>
              <c:numCache>
                <c:formatCode>0.00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val>
          <c:extLst>
            <c:ext xmlns:c16="http://schemas.microsoft.com/office/drawing/2014/chart" uri="{C3380CC4-5D6E-409C-BE32-E72D297353CC}">
              <c16:uniqueId val="{00000003-3D52-481F-90BA-3860ADE660CB}"/>
            </c:ext>
          </c:extLst>
        </c:ser>
        <c:dLbls>
          <c:showLegendKey val="0"/>
          <c:showVal val="0"/>
          <c:showCatName val="0"/>
          <c:showSerName val="0"/>
          <c:showPercent val="0"/>
          <c:showBubbleSize val="0"/>
        </c:dLbls>
        <c:axId val="2008338415"/>
        <c:axId val="2008353391"/>
      </c:radarChart>
      <c:catAx>
        <c:axId val="200833841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th-TH"/>
          </a:p>
        </c:txPr>
        <c:crossAx val="2008353391"/>
        <c:crosses val="autoZero"/>
        <c:auto val="1"/>
        <c:lblAlgn val="ctr"/>
        <c:lblOffset val="100"/>
        <c:noMultiLvlLbl val="0"/>
      </c:catAx>
      <c:valAx>
        <c:axId val="2008353391"/>
        <c:scaling>
          <c:orientation val="minMax"/>
          <c:max val="4"/>
          <c:min val="0"/>
        </c:scaling>
        <c:delete val="0"/>
        <c:axPos val="l"/>
        <c:majorGridlines>
          <c:spPr>
            <a:ln w="9525" cap="flat" cmpd="sng" algn="ctr">
              <a:noFill/>
              <a:round/>
            </a:ln>
            <a:effectLst/>
          </c:spPr>
        </c:majorGridlines>
        <c:numFmt formatCode="General" sourceLinked="1"/>
        <c:majorTickMark val="out"/>
        <c:minorTickMark val="none"/>
        <c:tickLblPos val="none"/>
        <c:spPr>
          <a:noFill/>
          <a:ln>
            <a:solidFill>
              <a:schemeClr val="bg1">
                <a:lumMod val="75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th-TH"/>
          </a:p>
        </c:txPr>
        <c:crossAx val="2008338415"/>
        <c:crosses val="autoZero"/>
        <c:crossBetween val="between"/>
        <c:majorUnit val="1"/>
      </c:valAx>
      <c:spPr>
        <a:noFill/>
        <a:ln>
          <a:noFill/>
        </a:ln>
        <a:effectLst/>
      </c:spPr>
    </c:plotArea>
    <c:plotVisOnly val="0"/>
    <c:dispBlanksAs val="gap"/>
    <c:showDLblsOverMax val="0"/>
  </c:chart>
  <c:spPr>
    <a:solidFill>
      <a:schemeClr val="bg1"/>
    </a:solidFill>
    <a:ln w="9525" cap="flat" cmpd="sng" algn="ctr">
      <a:solidFill>
        <a:schemeClr val="bg1">
          <a:lumMod val="75000"/>
          <a:alpha val="91000"/>
        </a:schemeClr>
      </a:solidFill>
      <a:round/>
    </a:ln>
    <a:effectLst/>
  </c:spPr>
  <c:txPr>
    <a:bodyPr/>
    <a:lstStyle/>
    <a:p>
      <a:pPr>
        <a:defRPr/>
      </a:pPr>
      <a:endParaRPr lang="th-TH"/>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rtl="0">
              <a:defRPr lang="th-TH" sz="20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defRPr>
            </a:pPr>
            <a:r>
              <a:rPr lang="th-TH" sz="16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ระดับคะแนนรวม (</a:t>
            </a:r>
            <a:r>
              <a:rPr lang="en-US" sz="16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maturity</a:t>
            </a:r>
            <a:r>
              <a:rPr lang="th-TH" sz="16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a:t>
            </a:r>
            <a:r>
              <a:rPr lang="en-US" sz="16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 </a:t>
            </a:r>
            <a:r>
              <a:rPr lang="th-TH" sz="16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ในแต่ละด้าน</a:t>
            </a:r>
            <a:r>
              <a:rPr lang="en-US" sz="16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 (</a:t>
            </a:r>
            <a:r>
              <a:rPr lang="th-TH" sz="16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สูงสุด </a:t>
            </a:r>
            <a:r>
              <a:rPr lang="en-US" sz="16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5 </a:t>
            </a:r>
            <a:r>
              <a:rPr lang="th-TH" sz="1600" b="1" i="0" u="sng"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ยกเว้น </a:t>
            </a:r>
            <a:r>
              <a:rPr lang="en-US" sz="1600" b="1" i="0" u="sng"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IT Audit </a:t>
            </a:r>
            <a:r>
              <a:rPr lang="th-TH" sz="1600" b="1" i="0" u="sng"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สูงสุดคือ </a:t>
            </a:r>
            <a:r>
              <a:rPr lang="en-US" sz="1600" b="1" i="0" u="sng"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3</a:t>
            </a:r>
            <a:r>
              <a:rPr lang="en-US" sz="16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a:t>
            </a:r>
            <a:endParaRPr lang="th-TH" sz="16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endParaRPr>
          </a:p>
        </c:rich>
      </c:tx>
      <c:layout>
        <c:manualLayout>
          <c:xMode val="edge"/>
          <c:yMode val="edge"/>
          <c:x val="0.20181755655235742"/>
          <c:y val="1.2087908433386923E-2"/>
        </c:manualLayout>
      </c:layout>
      <c:overlay val="0"/>
      <c:spPr>
        <a:noFill/>
        <a:ln>
          <a:noFill/>
        </a:ln>
        <a:effectLst/>
      </c:spPr>
      <c:txPr>
        <a:bodyPr rot="0" spcFirstLastPara="1" vertOverflow="ellipsis" vert="horz" wrap="square" anchor="ctr" anchorCtr="1"/>
        <a:lstStyle/>
        <a:p>
          <a:pPr algn="ctr" rtl="0">
            <a:defRPr lang="th-TH" sz="20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defRPr>
          </a:pPr>
          <a:endParaRPr lang="th-TH"/>
        </a:p>
      </c:txPr>
    </c:title>
    <c:autoTitleDeleted val="0"/>
    <c:plotArea>
      <c:layout>
        <c:manualLayout>
          <c:layoutTarget val="inner"/>
          <c:xMode val="edge"/>
          <c:yMode val="edge"/>
          <c:x val="0.25049275224414708"/>
          <c:y val="0.17419644691053585"/>
          <c:w val="0.44405701677478976"/>
          <c:h val="0.71452854450161796"/>
        </c:manualLayout>
      </c:layout>
      <c:radarChart>
        <c:radarStyle val="filled"/>
        <c:varyColors val="0"/>
        <c:ser>
          <c:idx val="4"/>
          <c:order val="0"/>
          <c:spPr>
            <a:solidFill>
              <a:schemeClr val="accent5">
                <a:lumMod val="40000"/>
                <a:lumOff val="60000"/>
              </a:schemeClr>
            </a:solidFill>
            <a:ln>
              <a:noFill/>
            </a:ln>
            <a:effectLst/>
          </c:spPr>
          <c:cat>
            <c:strRef>
              <c:extLst>
                <c:ext xmlns:c15="http://schemas.microsoft.com/office/drawing/2012/chart" uri="{02D57815-91ED-43cb-92C2-25804820EDAC}">
                  <c15:fullRef>
                    <c15:sqref>'6. Result'!$B$6:$B$36</c15:sqref>
                  </c15:fullRef>
                </c:ext>
              </c:extLst>
              <c:f>('6. Result'!$B$6,'6. Result'!$B$11:$B$12,'6. Result'!$B$15:$B$20,'6. Result'!$B$32:$B$36)</c:f>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xmlns:c15="http://schemas.microsoft.com/office/drawing/2012/chart" uri="{02D57815-91ED-43cb-92C2-25804820EDAC}">
                  <c15:fullRef>
                    <c15:sqref>'6. Result'!$AD$6:$AD$36</c15:sqref>
                  </c15:fullRef>
                </c:ext>
              </c:extLst>
              <c:f>('6. Result'!$AD$6,'6. Result'!$AD$11:$AD$12,'6. Result'!$AD$15:$AD$20,'6. Result'!$AD$32:$AD$36)</c:f>
              <c:numCache>
                <c:formatCode>General</c:formatCode>
                <c:ptCount val="14"/>
                <c:pt idx="0">
                  <c:v>5</c:v>
                </c:pt>
                <c:pt idx="1">
                  <c:v>5</c:v>
                </c:pt>
                <c:pt idx="2">
                  <c:v>5</c:v>
                </c:pt>
                <c:pt idx="3">
                  <c:v>5</c:v>
                </c:pt>
                <c:pt idx="4">
                  <c:v>5</c:v>
                </c:pt>
                <c:pt idx="5">
                  <c:v>5</c:v>
                </c:pt>
                <c:pt idx="6">
                  <c:v>5</c:v>
                </c:pt>
                <c:pt idx="7">
                  <c:v>5</c:v>
                </c:pt>
                <c:pt idx="8">
                  <c:v>5</c:v>
                </c:pt>
                <c:pt idx="9">
                  <c:v>5</c:v>
                </c:pt>
                <c:pt idx="10">
                  <c:v>5</c:v>
                </c:pt>
                <c:pt idx="11">
                  <c:v>5</c:v>
                </c:pt>
                <c:pt idx="12">
                  <c:v>5</c:v>
                </c:pt>
                <c:pt idx="13">
                  <c:v>5</c:v>
                </c:pt>
              </c:numCache>
            </c:numRef>
          </c:val>
          <c:extLst>
            <c:ext xmlns:c16="http://schemas.microsoft.com/office/drawing/2014/chart" uri="{C3380CC4-5D6E-409C-BE32-E72D297353CC}">
              <c16:uniqueId val="{00000000-B6B4-47FE-99DD-47A09D7D7507}"/>
            </c:ext>
          </c:extLst>
        </c:ser>
        <c:ser>
          <c:idx val="5"/>
          <c:order val="1"/>
          <c:spPr>
            <a:solidFill>
              <a:srgbClr val="CAF2C2"/>
            </a:solidFill>
            <a:ln>
              <a:noFill/>
            </a:ln>
            <a:effectLst/>
          </c:spPr>
          <c:cat>
            <c:strRef>
              <c:extLst>
                <c:ext xmlns:c15="http://schemas.microsoft.com/office/drawing/2012/chart" uri="{02D57815-91ED-43cb-92C2-25804820EDAC}">
                  <c15:fullRef>
                    <c15:sqref>'6. Result'!$B$6:$B$36</c15:sqref>
                  </c15:fullRef>
                </c:ext>
              </c:extLst>
              <c:f>('6. Result'!$B$6,'6. Result'!$B$11:$B$12,'6. Result'!$B$15:$B$20,'6. Result'!$B$32:$B$36)</c:f>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xmlns:c15="http://schemas.microsoft.com/office/drawing/2012/chart" uri="{02D57815-91ED-43cb-92C2-25804820EDAC}">
                  <c15:fullRef>
                    <c15:sqref>'6. Result'!$AE$6:$AE$36</c15:sqref>
                  </c15:fullRef>
                </c:ext>
              </c:extLst>
              <c:f>('6. Result'!$AE$6,'6. Result'!$AE$11:$AE$12,'6. Result'!$AE$15:$AE$20,'6. Result'!$AE$32:$AE$36)</c:f>
              <c:numCache>
                <c:formatCode>General</c:formatCode>
                <c:ptCount val="14"/>
                <c:pt idx="0">
                  <c:v>4</c:v>
                </c:pt>
                <c:pt idx="1">
                  <c:v>4</c:v>
                </c:pt>
                <c:pt idx="2">
                  <c:v>4</c:v>
                </c:pt>
                <c:pt idx="3">
                  <c:v>4</c:v>
                </c:pt>
                <c:pt idx="4">
                  <c:v>4</c:v>
                </c:pt>
                <c:pt idx="5">
                  <c:v>4</c:v>
                </c:pt>
                <c:pt idx="6">
                  <c:v>4</c:v>
                </c:pt>
                <c:pt idx="7">
                  <c:v>4</c:v>
                </c:pt>
                <c:pt idx="8">
                  <c:v>4</c:v>
                </c:pt>
                <c:pt idx="9">
                  <c:v>4</c:v>
                </c:pt>
                <c:pt idx="10">
                  <c:v>4</c:v>
                </c:pt>
                <c:pt idx="11">
                  <c:v>4</c:v>
                </c:pt>
                <c:pt idx="12">
                  <c:v>4</c:v>
                </c:pt>
                <c:pt idx="13">
                  <c:v>4</c:v>
                </c:pt>
              </c:numCache>
            </c:numRef>
          </c:val>
          <c:extLst>
            <c:ext xmlns:c16="http://schemas.microsoft.com/office/drawing/2014/chart" uri="{C3380CC4-5D6E-409C-BE32-E72D297353CC}">
              <c16:uniqueId val="{00000001-B6B4-47FE-99DD-47A09D7D7507}"/>
            </c:ext>
          </c:extLst>
        </c:ser>
        <c:ser>
          <c:idx val="0"/>
          <c:order val="2"/>
          <c:spPr>
            <a:solidFill>
              <a:srgbClr val="FFB3B5"/>
            </a:solidFill>
            <a:ln>
              <a:solidFill>
                <a:schemeClr val="bg1">
                  <a:lumMod val="75000"/>
                </a:schemeClr>
              </a:solidFill>
            </a:ln>
            <a:effectLst/>
          </c:spPr>
          <c:cat>
            <c:strRef>
              <c:extLst>
                <c:ext xmlns:c15="http://schemas.microsoft.com/office/drawing/2012/chart" uri="{02D57815-91ED-43cb-92C2-25804820EDAC}">
                  <c15:fullRef>
                    <c15:sqref>'6. Result'!$B$6:$B$36</c15:sqref>
                  </c15:fullRef>
                </c:ext>
              </c:extLst>
              <c:f>('6. Result'!$B$6,'6. Result'!$B$11:$B$12,'6. Result'!$B$15:$B$20,'6. Result'!$B$32:$B$36)</c:f>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xmlns:c15="http://schemas.microsoft.com/office/drawing/2012/chart" uri="{02D57815-91ED-43cb-92C2-25804820EDAC}">
                  <c15:fullRef>
                    <c15:sqref>'6. Result'!$AF$6:$AF$36</c15:sqref>
                  </c15:fullRef>
                </c:ext>
              </c:extLst>
              <c:f>('6. Result'!$AF$6,'6. Result'!$AF$11:$AF$12,'6. Result'!$AF$15:$AF$20,'6. Result'!$AF$32:$AF$36)</c:f>
              <c:numCache>
                <c:formatCode>General</c:formatCode>
                <c:ptCount val="14"/>
                <c:pt idx="0">
                  <c:v>3</c:v>
                </c:pt>
                <c:pt idx="1">
                  <c:v>3</c:v>
                </c:pt>
                <c:pt idx="2">
                  <c:v>3</c:v>
                </c:pt>
                <c:pt idx="3">
                  <c:v>3</c:v>
                </c:pt>
                <c:pt idx="4">
                  <c:v>3</c:v>
                </c:pt>
                <c:pt idx="5">
                  <c:v>3</c:v>
                </c:pt>
                <c:pt idx="6">
                  <c:v>3</c:v>
                </c:pt>
                <c:pt idx="7">
                  <c:v>3</c:v>
                </c:pt>
                <c:pt idx="8">
                  <c:v>3</c:v>
                </c:pt>
                <c:pt idx="9">
                  <c:v>3</c:v>
                </c:pt>
                <c:pt idx="10">
                  <c:v>3</c:v>
                </c:pt>
                <c:pt idx="11">
                  <c:v>3</c:v>
                </c:pt>
                <c:pt idx="12">
                  <c:v>3</c:v>
                </c:pt>
                <c:pt idx="13">
                  <c:v>3</c:v>
                </c:pt>
              </c:numCache>
            </c:numRef>
          </c:val>
          <c:extLst>
            <c:ext xmlns:c16="http://schemas.microsoft.com/office/drawing/2014/chart" uri="{C3380CC4-5D6E-409C-BE32-E72D297353CC}">
              <c16:uniqueId val="{00000002-B6B4-47FE-99DD-47A09D7D7507}"/>
            </c:ext>
          </c:extLst>
        </c:ser>
        <c:ser>
          <c:idx val="1"/>
          <c:order val="3"/>
          <c:spPr>
            <a:solidFill>
              <a:srgbClr val="FF7C80"/>
            </a:solidFill>
            <a:ln>
              <a:noFill/>
            </a:ln>
            <a:effectLst/>
          </c:spPr>
          <c:cat>
            <c:strRef>
              <c:extLst>
                <c:ext xmlns:c15="http://schemas.microsoft.com/office/drawing/2012/chart" uri="{02D57815-91ED-43cb-92C2-25804820EDAC}">
                  <c15:fullRef>
                    <c15:sqref>'6. Result'!$B$6:$B$36</c15:sqref>
                  </c15:fullRef>
                </c:ext>
              </c:extLst>
              <c:f>('6. Result'!$B$6,'6. Result'!$B$11:$B$12,'6. Result'!$B$15:$B$20,'6. Result'!$B$32:$B$36)</c:f>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xmlns:c15="http://schemas.microsoft.com/office/drawing/2012/chart" uri="{02D57815-91ED-43cb-92C2-25804820EDAC}">
                  <c15:fullRef>
                    <c15:sqref>'6. Result'!$AG$6:$AG$36</c15:sqref>
                  </c15:fullRef>
                </c:ext>
              </c:extLst>
              <c:f>('6. Result'!$AG$6,'6. Result'!$AG$11:$AG$12,'6. Result'!$AG$15:$AG$20,'6. Result'!$AG$32:$AG$36)</c:f>
              <c:numCache>
                <c:formatCode>General</c:formatCode>
                <c:ptCount val="14"/>
                <c:pt idx="0">
                  <c:v>2</c:v>
                </c:pt>
                <c:pt idx="1">
                  <c:v>2</c:v>
                </c:pt>
                <c:pt idx="2">
                  <c:v>2</c:v>
                </c:pt>
                <c:pt idx="3">
                  <c:v>2</c:v>
                </c:pt>
                <c:pt idx="4">
                  <c:v>2</c:v>
                </c:pt>
                <c:pt idx="5">
                  <c:v>2</c:v>
                </c:pt>
                <c:pt idx="6">
                  <c:v>2</c:v>
                </c:pt>
                <c:pt idx="7">
                  <c:v>2</c:v>
                </c:pt>
                <c:pt idx="8">
                  <c:v>2</c:v>
                </c:pt>
                <c:pt idx="9">
                  <c:v>2</c:v>
                </c:pt>
                <c:pt idx="10">
                  <c:v>2</c:v>
                </c:pt>
                <c:pt idx="11">
                  <c:v>2</c:v>
                </c:pt>
                <c:pt idx="12">
                  <c:v>2</c:v>
                </c:pt>
                <c:pt idx="13">
                  <c:v>2</c:v>
                </c:pt>
              </c:numCache>
            </c:numRef>
          </c:val>
          <c:extLst>
            <c:ext xmlns:c16="http://schemas.microsoft.com/office/drawing/2014/chart" uri="{C3380CC4-5D6E-409C-BE32-E72D297353CC}">
              <c16:uniqueId val="{00000003-B6B4-47FE-99DD-47A09D7D7507}"/>
            </c:ext>
          </c:extLst>
        </c:ser>
        <c:ser>
          <c:idx val="2"/>
          <c:order val="4"/>
          <c:spPr>
            <a:solidFill>
              <a:srgbClr val="FF5050"/>
            </a:solidFill>
            <a:ln>
              <a:noFill/>
            </a:ln>
            <a:effectLst/>
          </c:spPr>
          <c:cat>
            <c:strRef>
              <c:extLst>
                <c:ext xmlns:c15="http://schemas.microsoft.com/office/drawing/2012/chart" uri="{02D57815-91ED-43cb-92C2-25804820EDAC}">
                  <c15:fullRef>
                    <c15:sqref>'6. Result'!$B$6:$B$36</c15:sqref>
                  </c15:fullRef>
                </c:ext>
              </c:extLst>
              <c:f>('6. Result'!$B$6,'6. Result'!$B$11:$B$12,'6. Result'!$B$15:$B$20,'6. Result'!$B$32:$B$36)</c:f>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xmlns:c15="http://schemas.microsoft.com/office/drawing/2012/chart" uri="{02D57815-91ED-43cb-92C2-25804820EDAC}">
                  <c15:fullRef>
                    <c15:sqref>'6. Result'!$AH$6:$AH$36</c15:sqref>
                  </c15:fullRef>
                </c:ext>
              </c:extLst>
              <c:f>('6. Result'!$AH$6,'6. Result'!$AH$11:$AH$12,'6. Result'!$AH$15:$AH$20,'6. Result'!$AH$32:$AH$36)</c:f>
              <c:numCache>
                <c:formatCode>General</c:formatCode>
                <c:ptCount val="14"/>
                <c:pt idx="0">
                  <c:v>1</c:v>
                </c:pt>
                <c:pt idx="1">
                  <c:v>1</c:v>
                </c:pt>
                <c:pt idx="2">
                  <c:v>1</c:v>
                </c:pt>
                <c:pt idx="3">
                  <c:v>1</c:v>
                </c:pt>
                <c:pt idx="4">
                  <c:v>1</c:v>
                </c:pt>
                <c:pt idx="5">
                  <c:v>1</c:v>
                </c:pt>
                <c:pt idx="6">
                  <c:v>1</c:v>
                </c:pt>
                <c:pt idx="7">
                  <c:v>1</c:v>
                </c:pt>
                <c:pt idx="8">
                  <c:v>1</c:v>
                </c:pt>
                <c:pt idx="9">
                  <c:v>1</c:v>
                </c:pt>
                <c:pt idx="10">
                  <c:v>1</c:v>
                </c:pt>
                <c:pt idx="11">
                  <c:v>1</c:v>
                </c:pt>
                <c:pt idx="12">
                  <c:v>1</c:v>
                </c:pt>
                <c:pt idx="13">
                  <c:v>1</c:v>
                </c:pt>
              </c:numCache>
            </c:numRef>
          </c:val>
          <c:extLst>
            <c:ext xmlns:c16="http://schemas.microsoft.com/office/drawing/2014/chart" uri="{C3380CC4-5D6E-409C-BE32-E72D297353CC}">
              <c16:uniqueId val="{00000004-B6B4-47FE-99DD-47A09D7D7507}"/>
            </c:ext>
          </c:extLst>
        </c:ser>
        <c:ser>
          <c:idx val="6"/>
          <c:order val="6"/>
          <c:tx>
            <c:v>Total</c:v>
          </c:tx>
          <c:spPr>
            <a:noFill/>
            <a:ln w="28575">
              <a:solidFill>
                <a:schemeClr val="tx1"/>
              </a:solidFill>
            </a:ln>
            <a:effectLst/>
          </c:spP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th-TH"/>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extLst>
                <c:ext xmlns:c15="http://schemas.microsoft.com/office/drawing/2012/chart" uri="{02D57815-91ED-43cb-92C2-25804820EDAC}">
                  <c15:fullRef>
                    <c15:sqref>'6. Result'!$B$6:$B$36</c15:sqref>
                  </c15:fullRef>
                </c:ext>
              </c:extLst>
              <c:f>('6. Result'!$B$6,'6. Result'!$B$11:$B$12,'6. Result'!$B$15:$B$20,'6. Result'!$B$32:$B$36)</c:f>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xmlns:c15="http://schemas.microsoft.com/office/drawing/2012/chart" uri="{02D57815-91ED-43cb-92C2-25804820EDAC}">
                  <c15:fullRef>
                    <c15:sqref>'6. Result'!$M$6:$M$36</c15:sqref>
                  </c15:fullRef>
                </c:ext>
              </c:extLst>
              <c:f>('6. Result'!$M$6,'6. Result'!$M$11:$M$12,'6. Result'!$M$15:$M$20,'6. Result'!$M$32:$M$36)</c:f>
              <c:numCache>
                <c:formatCode>0.00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val>
          <c:extLst>
            <c:ext xmlns:c16="http://schemas.microsoft.com/office/drawing/2014/chart" uri="{C3380CC4-5D6E-409C-BE32-E72D297353CC}">
              <c16:uniqueId val="{00000005-B6B4-47FE-99DD-47A09D7D7507}"/>
            </c:ext>
          </c:extLst>
        </c:ser>
        <c:dLbls>
          <c:showLegendKey val="0"/>
          <c:showVal val="0"/>
          <c:showCatName val="0"/>
          <c:showSerName val="0"/>
          <c:showPercent val="0"/>
          <c:showBubbleSize val="0"/>
        </c:dLbls>
        <c:axId val="2008338415"/>
        <c:axId val="2008353391"/>
        <c:extLst>
          <c:ext xmlns:c15="http://schemas.microsoft.com/office/drawing/2012/chart" uri="{02D57815-91ED-43cb-92C2-25804820EDAC}">
            <c15:filteredRadarSeries>
              <c15:ser>
                <c:idx val="3"/>
                <c:order val="5"/>
                <c:tx>
                  <c:v>Mandatory score</c:v>
                </c:tx>
                <c:spPr>
                  <a:noFill/>
                  <a:ln w="63500">
                    <a:solidFill>
                      <a:schemeClr val="tx1"/>
                    </a:solidFill>
                  </a:ln>
                  <a:effectLst/>
                </c:spPr>
                <c:dLbls>
                  <c:numFmt formatCode="0.0" sourceLinked="0"/>
                  <c:spPr>
                    <a:noFill/>
                    <a:ln>
                      <a:noFill/>
                    </a:ln>
                    <a:effectLst/>
                  </c:spPr>
                  <c:txPr>
                    <a:bodyPr rot="0" spcFirstLastPara="1" vertOverflow="overflow" horzOverflow="overflow"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th-TH"/>
                    </a:p>
                  </c:txPr>
                  <c:showLegendKey val="0"/>
                  <c:showVal val="1"/>
                  <c:showCatName val="0"/>
                  <c:showSerName val="0"/>
                  <c:showPercent val="0"/>
                  <c:showBubbleSize val="0"/>
                  <c:showLeaderLines val="0"/>
                  <c:extLst>
                    <c:ext uri="{CE6537A1-D6FC-4f65-9D91-7224C49458BB}">
                      <c15:showLeaderLines val="0"/>
                    </c:ext>
                  </c:extLst>
                </c:dLbls>
                <c:cat>
                  <c:strRef>
                    <c:extLst>
                      <c:ext uri="{02D57815-91ED-43cb-92C2-25804820EDAC}">
                        <c15:fullRef>
                          <c15:sqref>'6. Result'!$B$6:$B$36</c15:sqref>
                        </c15:fullRef>
                        <c15:formulaRef>
                          <c15:sqref>('6. Result'!$B$6,'6. Result'!$B$11:$B$12,'6. Result'!$B$15:$B$20,'6. Result'!$B$32:$B$36)</c15:sqref>
                        </c15:formulaRef>
                      </c:ext>
                    </c:extLst>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uri="{02D57815-91ED-43cb-92C2-25804820EDAC}">
                        <c15:fullRef>
                          <c15:sqref>'6. Result'!$K$6:$K$36</c15:sqref>
                        </c15:fullRef>
                        <c15:formulaRef>
                          <c15:sqref>('6. Result'!$K$6,'6. Result'!$K$11:$K$12,'6. Result'!$K$15:$K$20,'6. Result'!$K$32:$K$36)</c15:sqref>
                        </c15:formulaRef>
                      </c:ext>
                    </c:extLst>
                    <c:numCache>
                      <c:formatCode>0.00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val>
                <c:extLst>
                  <c:ext xmlns:c16="http://schemas.microsoft.com/office/drawing/2014/chart" uri="{C3380CC4-5D6E-409C-BE32-E72D297353CC}">
                    <c16:uniqueId val="{00000006-B6B4-47FE-99DD-47A09D7D7507}"/>
                  </c:ext>
                </c:extLst>
              </c15:ser>
            </c15:filteredRadarSeries>
          </c:ext>
        </c:extLst>
      </c:radarChart>
      <c:catAx>
        <c:axId val="200833841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th-TH"/>
          </a:p>
        </c:txPr>
        <c:crossAx val="2008353391"/>
        <c:crosses val="autoZero"/>
        <c:auto val="1"/>
        <c:lblAlgn val="ctr"/>
        <c:lblOffset val="100"/>
        <c:noMultiLvlLbl val="0"/>
      </c:catAx>
      <c:valAx>
        <c:axId val="2008353391"/>
        <c:scaling>
          <c:orientation val="minMax"/>
          <c:max val="7.4"/>
          <c:min val="0"/>
        </c:scaling>
        <c:delete val="0"/>
        <c:axPos val="l"/>
        <c:majorGridlines>
          <c:spPr>
            <a:ln w="9525" cap="flat" cmpd="sng" algn="ctr">
              <a:noFill/>
              <a:round/>
            </a:ln>
            <a:effectLst/>
          </c:spPr>
        </c:majorGridlines>
        <c:numFmt formatCode="General" sourceLinked="1"/>
        <c:majorTickMark val="out"/>
        <c:minorTickMark val="none"/>
        <c:tickLblPos val="none"/>
        <c:spPr>
          <a:noFill/>
          <a:ln>
            <a:solidFill>
              <a:schemeClr val="bg1">
                <a:lumMod val="75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th-TH"/>
          </a:p>
        </c:txPr>
        <c:crossAx val="2008338415"/>
        <c:crosses val="autoZero"/>
        <c:crossBetween val="between"/>
        <c:majorUnit val="1"/>
      </c:valAx>
      <c:spPr>
        <a:noFill/>
        <a:ln>
          <a:noFill/>
        </a:ln>
        <a:effectLst/>
      </c:spPr>
    </c:plotArea>
    <c:plotVisOnly val="0"/>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th-TH"/>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th-TH" sz="16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ระดับคะแนนรวม (</a:t>
            </a:r>
            <a:r>
              <a:rPr lang="en-US" sz="16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maturity</a:t>
            </a:r>
            <a:r>
              <a:rPr lang="th-TH" sz="16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a:t>
            </a:r>
            <a:r>
              <a:rPr lang="en-US" sz="16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 </a:t>
            </a:r>
            <a:r>
              <a:rPr lang="th-TH" sz="16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ในแต่ละด้าน</a:t>
            </a:r>
            <a:r>
              <a:rPr lang="en-US" sz="16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 (</a:t>
            </a:r>
            <a:r>
              <a:rPr lang="th-TH" sz="16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สูงสุด </a:t>
            </a:r>
            <a:r>
              <a:rPr lang="en-US" sz="16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5 </a:t>
            </a:r>
            <a:r>
              <a:rPr lang="th-TH" sz="1600" b="1" i="0" u="sng"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ยกเว้น </a:t>
            </a:r>
            <a:r>
              <a:rPr lang="en-US" sz="1600" b="1" i="0" u="sng"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IT Audit </a:t>
            </a:r>
            <a:r>
              <a:rPr lang="th-TH" sz="1600" b="1" i="0" u="sng"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สูงสุดคือ </a:t>
            </a:r>
            <a:r>
              <a:rPr lang="en-US" sz="1600" b="1" i="0" u="sng"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3</a:t>
            </a:r>
            <a:r>
              <a:rPr lang="en-US" sz="16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a:t>
            </a:r>
            <a:endParaRPr lang="th-TH" sz="16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endParaRPr>
          </a:p>
        </c:rich>
      </c:tx>
      <c:layout>
        <c:manualLayout>
          <c:xMode val="edge"/>
          <c:yMode val="edge"/>
          <c:x val="0.28797429041823031"/>
          <c:y val="3.3937430171109263E-2"/>
        </c:manualLayout>
      </c:layout>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th-TH"/>
        </a:p>
      </c:txPr>
    </c:title>
    <c:autoTitleDeleted val="0"/>
    <c:plotArea>
      <c:layout>
        <c:manualLayout>
          <c:layoutTarget val="inner"/>
          <c:xMode val="edge"/>
          <c:yMode val="edge"/>
          <c:x val="0.11133213814586435"/>
          <c:y val="0.11301782884787757"/>
          <c:w val="0.82181544702438025"/>
          <c:h val="0.50101195873025162"/>
        </c:manualLayout>
      </c:layout>
      <c:barChart>
        <c:barDir val="col"/>
        <c:grouping val="stacked"/>
        <c:varyColors val="0"/>
        <c:ser>
          <c:idx val="6"/>
          <c:order val="6"/>
          <c:tx>
            <c:v>Total</c:v>
          </c:tx>
          <c:spPr>
            <a:solidFill>
              <a:schemeClr val="accent1">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th-TH"/>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extLst>
                <c:ext xmlns:c15="http://schemas.microsoft.com/office/drawing/2012/chart" uri="{02D57815-91ED-43cb-92C2-25804820EDAC}">
                  <c15:fullRef>
                    <c15:sqref>'6. Result'!$B$6:$B$36</c15:sqref>
                  </c15:fullRef>
                </c:ext>
              </c:extLst>
              <c:f>('6. Result'!$B$6,'6. Result'!$B$11:$B$12,'6. Result'!$B$15:$B$20,'6. Result'!$B$32:$B$36)</c:f>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xmlns:c15="http://schemas.microsoft.com/office/drawing/2012/chart" uri="{02D57815-91ED-43cb-92C2-25804820EDAC}">
                  <c15:fullRef>
                    <c15:sqref>'6. Result'!$M$6:$M$36</c15:sqref>
                  </c15:fullRef>
                </c:ext>
              </c:extLst>
              <c:f>('6. Result'!$M$6,'6. Result'!$M$11:$M$12,'6. Result'!$M$15:$M$20,'6. Result'!$M$32:$M$36)</c:f>
              <c:numCache>
                <c:formatCode>0.00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val>
          <c:extLst>
            <c:ext xmlns:c16="http://schemas.microsoft.com/office/drawing/2014/chart" uri="{C3380CC4-5D6E-409C-BE32-E72D297353CC}">
              <c16:uniqueId val="{00000000-9FA1-417B-B637-947B1280BFB2}"/>
            </c:ext>
          </c:extLst>
        </c:ser>
        <c:dLbls>
          <c:showLegendKey val="0"/>
          <c:showVal val="0"/>
          <c:showCatName val="0"/>
          <c:showSerName val="0"/>
          <c:showPercent val="0"/>
          <c:showBubbleSize val="0"/>
        </c:dLbls>
        <c:gapWidth val="50"/>
        <c:overlap val="100"/>
        <c:axId val="2008338415"/>
        <c:axId val="2008353391"/>
        <c:extLst>
          <c:ext xmlns:c15="http://schemas.microsoft.com/office/drawing/2012/chart" uri="{02D57815-91ED-43cb-92C2-25804820EDAC}">
            <c15:filteredBarSeries>
              <c15:ser>
                <c:idx val="4"/>
                <c:order val="0"/>
                <c:spPr>
                  <a:solidFill>
                    <a:schemeClr val="accent5"/>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th-TH"/>
                    </a:p>
                  </c:txPr>
                  <c:dLblPos val="ctr"/>
                  <c:showLegendKey val="0"/>
                  <c:showVal val="1"/>
                  <c:showCatName val="0"/>
                  <c:showSerName val="0"/>
                  <c:showPercent val="0"/>
                  <c:showBubbleSize val="0"/>
                  <c:showLeaderLines val="0"/>
                  <c:extLst>
                    <c:ext uri="{CE6537A1-D6FC-4f65-9D91-7224C49458BB}">
                      <c15:showLeaderLines val="1"/>
                      <c15:leaderLines>
                        <c:spPr>
                          <a:ln w="9525" cap="flat" cmpd="sng" algn="ctr">
                            <a:solidFill>
                              <a:schemeClr val="tx1">
                                <a:lumMod val="35000"/>
                                <a:lumOff val="65000"/>
                              </a:schemeClr>
                            </a:solidFill>
                            <a:round/>
                          </a:ln>
                          <a:effectLst/>
                        </c:spPr>
                      </c15:leaderLines>
                    </c:ext>
                  </c:extLst>
                </c:dLbls>
                <c:cat>
                  <c:strRef>
                    <c:extLst>
                      <c:ext uri="{02D57815-91ED-43cb-92C2-25804820EDAC}">
                        <c15:fullRef>
                          <c15:sqref>'6. Result'!$B$6:$B$36</c15:sqref>
                        </c15:fullRef>
                        <c15:formulaRef>
                          <c15:sqref>('6. Result'!$B$6,'6. Result'!$B$11:$B$12,'6. Result'!$B$15:$B$20,'6. Result'!$B$32:$B$36)</c15:sqref>
                        </c15:formulaRef>
                      </c:ext>
                    </c:extLst>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uri="{02D57815-91ED-43cb-92C2-25804820EDAC}">
                        <c15:fullRef>
                          <c15:sqref>'6. Result'!$AD$6:$AD$36</c15:sqref>
                        </c15:fullRef>
                        <c15:formulaRef>
                          <c15:sqref>('6. Result'!$AD$6,'6. Result'!$AD$11:$AD$12,'6. Result'!$AD$15:$AD$20,'6. Result'!$AD$32:$AD$36)</c15:sqref>
                        </c15:formulaRef>
                      </c:ext>
                    </c:extLst>
                    <c:numCache>
                      <c:formatCode>General</c:formatCode>
                      <c:ptCount val="14"/>
                      <c:pt idx="0">
                        <c:v>5</c:v>
                      </c:pt>
                      <c:pt idx="1">
                        <c:v>5</c:v>
                      </c:pt>
                      <c:pt idx="2">
                        <c:v>5</c:v>
                      </c:pt>
                      <c:pt idx="3">
                        <c:v>5</c:v>
                      </c:pt>
                      <c:pt idx="4">
                        <c:v>5</c:v>
                      </c:pt>
                      <c:pt idx="5">
                        <c:v>5</c:v>
                      </c:pt>
                      <c:pt idx="6">
                        <c:v>5</c:v>
                      </c:pt>
                      <c:pt idx="7">
                        <c:v>5</c:v>
                      </c:pt>
                      <c:pt idx="8">
                        <c:v>5</c:v>
                      </c:pt>
                      <c:pt idx="9">
                        <c:v>5</c:v>
                      </c:pt>
                      <c:pt idx="10">
                        <c:v>5</c:v>
                      </c:pt>
                      <c:pt idx="11">
                        <c:v>5</c:v>
                      </c:pt>
                      <c:pt idx="12">
                        <c:v>5</c:v>
                      </c:pt>
                      <c:pt idx="13">
                        <c:v>5</c:v>
                      </c:pt>
                    </c:numCache>
                  </c:numRef>
                </c:val>
                <c:extLst>
                  <c:ext xmlns:c16="http://schemas.microsoft.com/office/drawing/2014/chart" uri="{C3380CC4-5D6E-409C-BE32-E72D297353CC}">
                    <c16:uniqueId val="{00000002-9FA1-417B-B637-947B1280BFB2}"/>
                  </c:ext>
                </c:extLst>
              </c15:ser>
            </c15:filteredBarSeries>
            <c15:filteredBarSeries>
              <c15:ser>
                <c:idx val="5"/>
                <c:order val="1"/>
                <c:spPr>
                  <a:solidFill>
                    <a:schemeClr val="accent6"/>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th-TH"/>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extLst>
                      <c:ext xmlns:c15="http://schemas.microsoft.com/office/drawing/2012/chart" uri="{02D57815-91ED-43cb-92C2-25804820EDAC}">
                        <c15:fullRef>
                          <c15:sqref>'6. Result'!$B$6:$B$36</c15:sqref>
                        </c15:fullRef>
                        <c15:formulaRef>
                          <c15:sqref>('6. Result'!$B$6,'6. Result'!$B$11:$B$12,'6. Result'!$B$15:$B$20,'6. Result'!$B$32:$B$36)</c15:sqref>
                        </c15:formulaRef>
                      </c:ext>
                    </c:extLst>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xmlns:c15="http://schemas.microsoft.com/office/drawing/2012/chart" uri="{02D57815-91ED-43cb-92C2-25804820EDAC}">
                        <c15:fullRef>
                          <c15:sqref>'6. Result'!$AE$6:$AE$36</c15:sqref>
                        </c15:fullRef>
                        <c15:formulaRef>
                          <c15:sqref>('6. Result'!$AE$6,'6. Result'!$AE$11:$AE$12,'6. Result'!$AE$15:$AE$20,'6. Result'!$AE$32:$AE$36)</c15:sqref>
                        </c15:formulaRef>
                      </c:ext>
                    </c:extLst>
                    <c:numCache>
                      <c:formatCode>General</c:formatCode>
                      <c:ptCount val="14"/>
                      <c:pt idx="0">
                        <c:v>4</c:v>
                      </c:pt>
                      <c:pt idx="1">
                        <c:v>4</c:v>
                      </c:pt>
                      <c:pt idx="2">
                        <c:v>4</c:v>
                      </c:pt>
                      <c:pt idx="3">
                        <c:v>4</c:v>
                      </c:pt>
                      <c:pt idx="4">
                        <c:v>4</c:v>
                      </c:pt>
                      <c:pt idx="5">
                        <c:v>4</c:v>
                      </c:pt>
                      <c:pt idx="6">
                        <c:v>4</c:v>
                      </c:pt>
                      <c:pt idx="7">
                        <c:v>4</c:v>
                      </c:pt>
                      <c:pt idx="8">
                        <c:v>4</c:v>
                      </c:pt>
                      <c:pt idx="9">
                        <c:v>4</c:v>
                      </c:pt>
                      <c:pt idx="10">
                        <c:v>4</c:v>
                      </c:pt>
                      <c:pt idx="11">
                        <c:v>4</c:v>
                      </c:pt>
                      <c:pt idx="12">
                        <c:v>4</c:v>
                      </c:pt>
                      <c:pt idx="13">
                        <c:v>4</c:v>
                      </c:pt>
                    </c:numCache>
                  </c:numRef>
                </c:val>
                <c:extLst xmlns:c15="http://schemas.microsoft.com/office/drawing/2012/chart">
                  <c:ext xmlns:c16="http://schemas.microsoft.com/office/drawing/2014/chart" uri="{C3380CC4-5D6E-409C-BE32-E72D297353CC}">
                    <c16:uniqueId val="{00000003-9FA1-417B-B637-947B1280BFB2}"/>
                  </c:ext>
                </c:extLst>
              </c15:ser>
            </c15:filteredBarSeries>
            <c15:filteredBarSeries>
              <c15:ser>
                <c:idx val="0"/>
                <c:order val="2"/>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th-TH"/>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extLst>
                      <c:ext xmlns:c15="http://schemas.microsoft.com/office/drawing/2012/chart" uri="{02D57815-91ED-43cb-92C2-25804820EDAC}">
                        <c15:fullRef>
                          <c15:sqref>'6. Result'!$B$6:$B$36</c15:sqref>
                        </c15:fullRef>
                        <c15:formulaRef>
                          <c15:sqref>('6. Result'!$B$6,'6. Result'!$B$11:$B$12,'6. Result'!$B$15:$B$20,'6. Result'!$B$32:$B$36)</c15:sqref>
                        </c15:formulaRef>
                      </c:ext>
                    </c:extLst>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xmlns:c15="http://schemas.microsoft.com/office/drawing/2012/chart" uri="{02D57815-91ED-43cb-92C2-25804820EDAC}">
                        <c15:fullRef>
                          <c15:sqref>'6. Result'!$AF$6:$AF$36</c15:sqref>
                        </c15:fullRef>
                        <c15:formulaRef>
                          <c15:sqref>('6. Result'!$AF$6,'6. Result'!$AF$11:$AF$12,'6. Result'!$AF$15:$AF$20,'6. Result'!$AF$32:$AF$36)</c15:sqref>
                        </c15:formulaRef>
                      </c:ext>
                    </c:extLst>
                    <c:numCache>
                      <c:formatCode>General</c:formatCode>
                      <c:ptCount val="14"/>
                      <c:pt idx="0">
                        <c:v>3</c:v>
                      </c:pt>
                      <c:pt idx="1">
                        <c:v>3</c:v>
                      </c:pt>
                      <c:pt idx="2">
                        <c:v>3</c:v>
                      </c:pt>
                      <c:pt idx="3">
                        <c:v>3</c:v>
                      </c:pt>
                      <c:pt idx="4">
                        <c:v>3</c:v>
                      </c:pt>
                      <c:pt idx="5">
                        <c:v>3</c:v>
                      </c:pt>
                      <c:pt idx="6">
                        <c:v>3</c:v>
                      </c:pt>
                      <c:pt idx="7">
                        <c:v>3</c:v>
                      </c:pt>
                      <c:pt idx="8">
                        <c:v>3</c:v>
                      </c:pt>
                      <c:pt idx="9">
                        <c:v>3</c:v>
                      </c:pt>
                      <c:pt idx="10">
                        <c:v>3</c:v>
                      </c:pt>
                      <c:pt idx="11">
                        <c:v>3</c:v>
                      </c:pt>
                      <c:pt idx="12">
                        <c:v>3</c:v>
                      </c:pt>
                      <c:pt idx="13">
                        <c:v>3</c:v>
                      </c:pt>
                    </c:numCache>
                  </c:numRef>
                </c:val>
                <c:extLst xmlns:c15="http://schemas.microsoft.com/office/drawing/2012/chart">
                  <c:ext xmlns:c16="http://schemas.microsoft.com/office/drawing/2014/chart" uri="{C3380CC4-5D6E-409C-BE32-E72D297353CC}">
                    <c16:uniqueId val="{00000004-9FA1-417B-B637-947B1280BFB2}"/>
                  </c:ext>
                </c:extLst>
              </c15:ser>
            </c15:filteredBarSeries>
            <c15:filteredBarSeries>
              <c15:ser>
                <c:idx val="1"/>
                <c:order val="3"/>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th-TH"/>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extLst>
                      <c:ext xmlns:c15="http://schemas.microsoft.com/office/drawing/2012/chart" uri="{02D57815-91ED-43cb-92C2-25804820EDAC}">
                        <c15:fullRef>
                          <c15:sqref>'6. Result'!$B$6:$B$36</c15:sqref>
                        </c15:fullRef>
                        <c15:formulaRef>
                          <c15:sqref>('6. Result'!$B$6,'6. Result'!$B$11:$B$12,'6. Result'!$B$15:$B$20,'6. Result'!$B$32:$B$36)</c15:sqref>
                        </c15:formulaRef>
                      </c:ext>
                    </c:extLst>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xmlns:c15="http://schemas.microsoft.com/office/drawing/2012/chart" uri="{02D57815-91ED-43cb-92C2-25804820EDAC}">
                        <c15:fullRef>
                          <c15:sqref>'6. Result'!$AG$6:$AG$36</c15:sqref>
                        </c15:fullRef>
                        <c15:formulaRef>
                          <c15:sqref>('6. Result'!$AG$6,'6. Result'!$AG$11:$AG$12,'6. Result'!$AG$15:$AG$20,'6. Result'!$AG$32:$AG$36)</c15:sqref>
                        </c15:formulaRef>
                      </c:ext>
                    </c:extLst>
                    <c:numCache>
                      <c:formatCode>General</c:formatCode>
                      <c:ptCount val="14"/>
                      <c:pt idx="0">
                        <c:v>2</c:v>
                      </c:pt>
                      <c:pt idx="1">
                        <c:v>2</c:v>
                      </c:pt>
                      <c:pt idx="2">
                        <c:v>2</c:v>
                      </c:pt>
                      <c:pt idx="3">
                        <c:v>2</c:v>
                      </c:pt>
                      <c:pt idx="4">
                        <c:v>2</c:v>
                      </c:pt>
                      <c:pt idx="5">
                        <c:v>2</c:v>
                      </c:pt>
                      <c:pt idx="6">
                        <c:v>2</c:v>
                      </c:pt>
                      <c:pt idx="7">
                        <c:v>2</c:v>
                      </c:pt>
                      <c:pt idx="8">
                        <c:v>2</c:v>
                      </c:pt>
                      <c:pt idx="9">
                        <c:v>2</c:v>
                      </c:pt>
                      <c:pt idx="10">
                        <c:v>2</c:v>
                      </c:pt>
                      <c:pt idx="11">
                        <c:v>2</c:v>
                      </c:pt>
                      <c:pt idx="12">
                        <c:v>2</c:v>
                      </c:pt>
                      <c:pt idx="13">
                        <c:v>2</c:v>
                      </c:pt>
                    </c:numCache>
                  </c:numRef>
                </c:val>
                <c:extLst xmlns:c15="http://schemas.microsoft.com/office/drawing/2012/chart">
                  <c:ext xmlns:c16="http://schemas.microsoft.com/office/drawing/2014/chart" uri="{C3380CC4-5D6E-409C-BE32-E72D297353CC}">
                    <c16:uniqueId val="{00000005-9FA1-417B-B637-947B1280BFB2}"/>
                  </c:ext>
                </c:extLst>
              </c15:ser>
            </c15:filteredBarSeries>
            <c15:filteredBarSeries>
              <c15:ser>
                <c:idx val="2"/>
                <c:order val="4"/>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th-TH"/>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extLst>
                      <c:ext xmlns:c15="http://schemas.microsoft.com/office/drawing/2012/chart" uri="{02D57815-91ED-43cb-92C2-25804820EDAC}">
                        <c15:fullRef>
                          <c15:sqref>'6. Result'!$B$6:$B$36</c15:sqref>
                        </c15:fullRef>
                        <c15:formulaRef>
                          <c15:sqref>('6. Result'!$B$6,'6. Result'!$B$11:$B$12,'6. Result'!$B$15:$B$20,'6. Result'!$B$32:$B$36)</c15:sqref>
                        </c15:formulaRef>
                      </c:ext>
                    </c:extLst>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xmlns:c15="http://schemas.microsoft.com/office/drawing/2012/chart" uri="{02D57815-91ED-43cb-92C2-25804820EDAC}">
                        <c15:fullRef>
                          <c15:sqref>'6. Result'!$AH$6:$AH$36</c15:sqref>
                        </c15:fullRef>
                        <c15:formulaRef>
                          <c15:sqref>('6. Result'!$AH$6,'6. Result'!$AH$11:$AH$12,'6. Result'!$AH$15:$AH$20,'6. Result'!$AH$32:$AH$36)</c15:sqref>
                        </c15:formulaRef>
                      </c:ext>
                    </c:extLst>
                    <c:numCache>
                      <c:formatCode>General</c:formatCode>
                      <c:ptCount val="14"/>
                      <c:pt idx="0">
                        <c:v>1</c:v>
                      </c:pt>
                      <c:pt idx="1">
                        <c:v>1</c:v>
                      </c:pt>
                      <c:pt idx="2">
                        <c:v>1</c:v>
                      </c:pt>
                      <c:pt idx="3">
                        <c:v>1</c:v>
                      </c:pt>
                      <c:pt idx="4">
                        <c:v>1</c:v>
                      </c:pt>
                      <c:pt idx="5">
                        <c:v>1</c:v>
                      </c:pt>
                      <c:pt idx="6">
                        <c:v>1</c:v>
                      </c:pt>
                      <c:pt idx="7">
                        <c:v>1</c:v>
                      </c:pt>
                      <c:pt idx="8">
                        <c:v>1</c:v>
                      </c:pt>
                      <c:pt idx="9">
                        <c:v>1</c:v>
                      </c:pt>
                      <c:pt idx="10">
                        <c:v>1</c:v>
                      </c:pt>
                      <c:pt idx="11">
                        <c:v>1</c:v>
                      </c:pt>
                      <c:pt idx="12">
                        <c:v>1</c:v>
                      </c:pt>
                      <c:pt idx="13">
                        <c:v>1</c:v>
                      </c:pt>
                    </c:numCache>
                  </c:numRef>
                </c:val>
                <c:extLst xmlns:c15="http://schemas.microsoft.com/office/drawing/2012/chart">
                  <c:ext xmlns:c16="http://schemas.microsoft.com/office/drawing/2014/chart" uri="{C3380CC4-5D6E-409C-BE32-E72D297353CC}">
                    <c16:uniqueId val="{00000006-9FA1-417B-B637-947B1280BFB2}"/>
                  </c:ext>
                </c:extLst>
              </c15:ser>
            </c15:filteredBarSeries>
          </c:ext>
        </c:extLst>
      </c:barChart>
      <c:barChart>
        <c:barDir val="col"/>
        <c:grouping val="stacked"/>
        <c:varyColors val="0"/>
        <c:ser>
          <c:idx val="3"/>
          <c:order val="5"/>
          <c:tx>
            <c:v>Mandatory score</c:v>
          </c:tx>
          <c:spPr>
            <a:solidFill>
              <a:schemeClr val="accent4"/>
            </a:solidFill>
            <a:ln>
              <a:noFill/>
            </a:ln>
            <a:effectLst/>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th-TH"/>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0"/>
              </c:ext>
            </c:extLst>
          </c:dLbls>
          <c:cat>
            <c:strRef>
              <c:extLst>
                <c:ext xmlns:c15="http://schemas.microsoft.com/office/drawing/2012/chart" uri="{02D57815-91ED-43cb-92C2-25804820EDAC}">
                  <c15:fullRef>
                    <c15:sqref>'6. Result'!$B$6:$B$36</c15:sqref>
                  </c15:fullRef>
                </c:ext>
              </c:extLst>
              <c:f>('6. Result'!$B$6,'6. Result'!$B$11:$B$12,'6. Result'!$B$15:$B$20,'6. Result'!$B$32:$B$36)</c:f>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xmlns:c15="http://schemas.microsoft.com/office/drawing/2012/chart" uri="{02D57815-91ED-43cb-92C2-25804820EDAC}">
                  <c15:fullRef>
                    <c15:sqref>'6. Result'!$K$6:$K$36</c15:sqref>
                  </c15:fullRef>
                </c:ext>
              </c:extLst>
              <c:f>('6. Result'!$K$6,'6. Result'!$K$11:$K$12,'6. Result'!$K$15:$K$20,'6. Result'!$K$32:$K$36)</c:f>
              <c:numCache>
                <c:formatCode>0.00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val>
          <c:extLst xmlns:c15="http://schemas.microsoft.com/office/drawing/2012/chart">
            <c:ext xmlns:c16="http://schemas.microsoft.com/office/drawing/2014/chart" uri="{C3380CC4-5D6E-409C-BE32-E72D297353CC}">
              <c16:uniqueId val="{00000001-9FA1-417B-B637-947B1280BFB2}"/>
            </c:ext>
          </c:extLst>
        </c:ser>
        <c:dLbls>
          <c:showLegendKey val="0"/>
          <c:showVal val="0"/>
          <c:showCatName val="0"/>
          <c:showSerName val="0"/>
          <c:showPercent val="0"/>
          <c:showBubbleSize val="0"/>
        </c:dLbls>
        <c:gapWidth val="50"/>
        <c:overlap val="100"/>
        <c:axId val="2118789648"/>
        <c:axId val="478489760"/>
      </c:barChart>
      <c:catAx>
        <c:axId val="200833841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b" anchorCtr="1"/>
          <a:lstStyle/>
          <a:p>
            <a:pPr>
              <a:defRPr sz="900" b="0" i="0" u="none" strike="noStrike" kern="1200" baseline="0">
                <a:solidFill>
                  <a:schemeClr val="tx1">
                    <a:lumMod val="65000"/>
                    <a:lumOff val="35000"/>
                  </a:schemeClr>
                </a:solidFill>
                <a:latin typeface="Tahoma" panose="020B0604030504040204" pitchFamily="34" charset="0"/>
                <a:ea typeface="+mn-ea"/>
                <a:cs typeface="+mn-cs"/>
              </a:defRPr>
            </a:pPr>
            <a:endParaRPr lang="th-TH"/>
          </a:p>
        </c:txPr>
        <c:crossAx val="2008353391"/>
        <c:crosses val="autoZero"/>
        <c:auto val="1"/>
        <c:lblAlgn val="ctr"/>
        <c:lblOffset val="100"/>
        <c:noMultiLvlLbl val="0"/>
      </c:catAx>
      <c:valAx>
        <c:axId val="2008353391"/>
        <c:scaling>
          <c:orientation val="minMax"/>
          <c:max val="5"/>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low"/>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th-TH"/>
          </a:p>
        </c:txPr>
        <c:crossAx val="2008338415"/>
        <c:crosses val="autoZero"/>
        <c:crossBetween val="between"/>
        <c:majorUnit val="1"/>
      </c:valAx>
      <c:valAx>
        <c:axId val="478489760"/>
        <c:scaling>
          <c:orientation val="minMax"/>
          <c:max val="5"/>
        </c:scaling>
        <c:delete val="0"/>
        <c:axPos val="r"/>
        <c:numFmt formatCode="0.00" sourceLinked="1"/>
        <c:majorTickMark val="none"/>
        <c:minorTickMark val="none"/>
        <c:tickLblPos val="none"/>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th-TH"/>
          </a:p>
        </c:txPr>
        <c:crossAx val="2118789648"/>
        <c:crosses val="max"/>
        <c:crossBetween val="between"/>
      </c:valAx>
      <c:catAx>
        <c:axId val="2118789648"/>
        <c:scaling>
          <c:orientation val="minMax"/>
        </c:scaling>
        <c:delete val="1"/>
        <c:axPos val="b"/>
        <c:numFmt formatCode="General" sourceLinked="1"/>
        <c:majorTickMark val="none"/>
        <c:minorTickMark val="none"/>
        <c:tickLblPos val="nextTo"/>
        <c:crossAx val="478489760"/>
        <c:crosses val="autoZero"/>
        <c:auto val="1"/>
        <c:lblAlgn val="ctr"/>
        <c:lblOffset val="100"/>
        <c:noMultiLvlLbl val="0"/>
      </c:catAx>
      <c:spPr>
        <a:noFill/>
        <a:ln>
          <a:noFill/>
        </a:ln>
        <a:effectLst/>
      </c:spPr>
    </c:plotArea>
    <c:plotVisOnly val="0"/>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th-TH"/>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0" baseline="0">
                <a:solidFill>
                  <a:schemeClr val="tx1">
                    <a:lumMod val="65000"/>
                    <a:lumOff val="35000"/>
                  </a:schemeClr>
                </a:solidFill>
                <a:latin typeface="+mn-lt"/>
                <a:ea typeface="+mn-ea"/>
                <a:cs typeface="+mn-cs"/>
              </a:defRPr>
            </a:pPr>
            <a:r>
              <a:rPr lang="th-TH" sz="16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ระดับคะแนนตาม</a:t>
            </a:r>
            <a:r>
              <a:rPr lang="en-US" sz="16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 function </a:t>
            </a:r>
            <a:r>
              <a:rPr lang="th-TH" sz="16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ของ </a:t>
            </a:r>
            <a:r>
              <a:rPr lang="en-US" sz="16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NIST Cyber Security Framework 2.0</a:t>
            </a:r>
            <a:endParaRPr lang="th-TH" sz="16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endParaRPr>
          </a:p>
        </c:rich>
      </c:tx>
      <c:overlay val="0"/>
      <c:spPr>
        <a:noFill/>
        <a:ln>
          <a:noFill/>
        </a:ln>
        <a:effectLst/>
      </c:spPr>
      <c:txPr>
        <a:bodyPr rot="0" spcFirstLastPara="1" vertOverflow="ellipsis" vert="horz" wrap="square" anchor="ctr" anchorCtr="1"/>
        <a:lstStyle/>
        <a:p>
          <a:pPr>
            <a:defRPr sz="1600" b="1" i="0" u="none" strike="noStrike" kern="1200" spc="0" baseline="0">
              <a:solidFill>
                <a:schemeClr val="tx1">
                  <a:lumMod val="65000"/>
                  <a:lumOff val="35000"/>
                </a:schemeClr>
              </a:solidFill>
              <a:latin typeface="+mn-lt"/>
              <a:ea typeface="+mn-ea"/>
              <a:cs typeface="+mn-cs"/>
            </a:defRPr>
          </a:pPr>
          <a:endParaRPr lang="th-TH"/>
        </a:p>
      </c:txPr>
    </c:title>
    <c:autoTitleDeleted val="0"/>
    <c:plotArea>
      <c:layout/>
      <c:barChart>
        <c:barDir val="col"/>
        <c:grouping val="clustered"/>
        <c:varyColors val="0"/>
        <c:ser>
          <c:idx val="0"/>
          <c:order val="0"/>
          <c:spPr>
            <a:solidFill>
              <a:schemeClr val="accent1"/>
            </a:solidFill>
            <a:ln>
              <a:noFill/>
            </a:ln>
            <a:effectLst/>
          </c:spPr>
          <c:invertIfNegative val="0"/>
          <c:dPt>
            <c:idx val="0"/>
            <c:invertIfNegative val="0"/>
            <c:bubble3D val="0"/>
            <c:spPr>
              <a:solidFill>
                <a:srgbClr val="FBF49E"/>
              </a:solidFill>
              <a:ln>
                <a:solidFill>
                  <a:schemeClr val="tx1"/>
                </a:solidFill>
              </a:ln>
              <a:effectLst/>
            </c:spPr>
            <c:extLst>
              <c:ext xmlns:c16="http://schemas.microsoft.com/office/drawing/2014/chart" uri="{C3380CC4-5D6E-409C-BE32-E72D297353CC}">
                <c16:uniqueId val="{00000001-A719-4890-B18D-36BA2565C4F1}"/>
              </c:ext>
            </c:extLst>
          </c:dPt>
          <c:dPt>
            <c:idx val="1"/>
            <c:invertIfNegative val="0"/>
            <c:bubble3D val="0"/>
            <c:spPr>
              <a:solidFill>
                <a:srgbClr val="4CB2DF"/>
              </a:solidFill>
              <a:ln>
                <a:solidFill>
                  <a:schemeClr val="tx1"/>
                </a:solidFill>
              </a:ln>
              <a:effectLst/>
            </c:spPr>
            <c:extLst>
              <c:ext xmlns:c16="http://schemas.microsoft.com/office/drawing/2014/chart" uri="{C3380CC4-5D6E-409C-BE32-E72D297353CC}">
                <c16:uniqueId val="{00000003-A719-4890-B18D-36BA2565C4F1}"/>
              </c:ext>
            </c:extLst>
          </c:dPt>
          <c:dPt>
            <c:idx val="2"/>
            <c:invertIfNegative val="0"/>
            <c:bubble3D val="0"/>
            <c:spPr>
              <a:solidFill>
                <a:srgbClr val="9292E9"/>
              </a:solidFill>
              <a:ln>
                <a:solidFill>
                  <a:schemeClr val="tx1"/>
                </a:solidFill>
              </a:ln>
              <a:effectLst/>
            </c:spPr>
            <c:extLst>
              <c:ext xmlns:c16="http://schemas.microsoft.com/office/drawing/2014/chart" uri="{C3380CC4-5D6E-409C-BE32-E72D297353CC}">
                <c16:uniqueId val="{00000005-A719-4890-B18D-36BA2565C4F1}"/>
              </c:ext>
            </c:extLst>
          </c:dPt>
          <c:dPt>
            <c:idx val="3"/>
            <c:invertIfNegative val="0"/>
            <c:bubble3D val="0"/>
            <c:spPr>
              <a:solidFill>
                <a:srgbClr val="FAB645"/>
              </a:solidFill>
              <a:ln>
                <a:solidFill>
                  <a:schemeClr val="tx1"/>
                </a:solidFill>
              </a:ln>
              <a:effectLst/>
            </c:spPr>
            <c:extLst>
              <c:ext xmlns:c16="http://schemas.microsoft.com/office/drawing/2014/chart" uri="{C3380CC4-5D6E-409C-BE32-E72D297353CC}">
                <c16:uniqueId val="{00000007-A719-4890-B18D-36BA2565C4F1}"/>
              </c:ext>
            </c:extLst>
          </c:dPt>
          <c:dPt>
            <c:idx val="4"/>
            <c:invertIfNegative val="0"/>
            <c:bubble3D val="0"/>
            <c:spPr>
              <a:solidFill>
                <a:srgbClr val="F97367"/>
              </a:solidFill>
              <a:ln>
                <a:solidFill>
                  <a:schemeClr val="tx1"/>
                </a:solidFill>
              </a:ln>
              <a:effectLst/>
            </c:spPr>
            <c:extLst>
              <c:ext xmlns:c16="http://schemas.microsoft.com/office/drawing/2014/chart" uri="{C3380CC4-5D6E-409C-BE32-E72D297353CC}">
                <c16:uniqueId val="{00000009-A719-4890-B18D-36BA2565C4F1}"/>
              </c:ext>
            </c:extLst>
          </c:dPt>
          <c:dPt>
            <c:idx val="5"/>
            <c:invertIfNegative val="0"/>
            <c:bubble3D val="0"/>
            <c:spPr>
              <a:solidFill>
                <a:srgbClr val="7DF6A2"/>
              </a:solidFill>
              <a:ln>
                <a:solidFill>
                  <a:schemeClr val="tx1"/>
                </a:solidFill>
              </a:ln>
              <a:effectLst/>
            </c:spPr>
            <c:extLst>
              <c:ext xmlns:c16="http://schemas.microsoft.com/office/drawing/2014/chart" uri="{C3380CC4-5D6E-409C-BE32-E72D297353CC}">
                <c16:uniqueId val="{0000000B-A719-4890-B18D-36BA2565C4F1}"/>
              </c:ext>
            </c:extLst>
          </c:dPt>
          <c:dLbls>
            <c:numFmt formatCode="0%" sourceLinked="0"/>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75000"/>
                        <a:lumOff val="25000"/>
                      </a:schemeClr>
                    </a:solidFill>
                    <a:latin typeface="+mn-lt"/>
                    <a:ea typeface="+mn-ea"/>
                    <a:cs typeface="+mn-cs"/>
                  </a:defRPr>
                </a:pPr>
                <a:endParaRPr lang="th-TH"/>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RawData!$T$1:$Y$1</c:f>
              <c:strCache>
                <c:ptCount val="6"/>
                <c:pt idx="0">
                  <c:v>Govern</c:v>
                </c:pt>
                <c:pt idx="1">
                  <c:v>Identify</c:v>
                </c:pt>
                <c:pt idx="2">
                  <c:v>Protect</c:v>
                </c:pt>
                <c:pt idx="3">
                  <c:v>Detect</c:v>
                </c:pt>
                <c:pt idx="4">
                  <c:v>Response</c:v>
                </c:pt>
                <c:pt idx="5">
                  <c:v>Recovery</c:v>
                </c:pt>
              </c:strCache>
            </c:strRef>
          </c:cat>
          <c:val>
            <c:numRef>
              <c:f>RawData!$T$273:$Y$273</c:f>
              <c:numCache>
                <c:formatCode>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C-A719-4890-B18D-36BA2565C4F1}"/>
            </c:ext>
          </c:extLst>
        </c:ser>
        <c:dLbls>
          <c:showLegendKey val="0"/>
          <c:showVal val="0"/>
          <c:showCatName val="0"/>
          <c:showSerName val="0"/>
          <c:showPercent val="0"/>
          <c:showBubbleSize val="0"/>
        </c:dLbls>
        <c:gapWidth val="219"/>
        <c:overlap val="-27"/>
        <c:axId val="1658803199"/>
        <c:axId val="1910476319"/>
      </c:barChart>
      <c:catAx>
        <c:axId val="165880319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Tahoma" panose="020B0604030504040204" pitchFamily="34" charset="0"/>
                <a:ea typeface="+mn-ea"/>
                <a:cs typeface="+mj-cs"/>
              </a:defRPr>
            </a:pPr>
            <a:endParaRPr lang="th-TH"/>
          </a:p>
        </c:txPr>
        <c:crossAx val="1910476319"/>
        <c:crosses val="autoZero"/>
        <c:auto val="1"/>
        <c:lblAlgn val="ctr"/>
        <c:lblOffset val="100"/>
        <c:noMultiLvlLbl val="0"/>
      </c:catAx>
      <c:valAx>
        <c:axId val="1910476319"/>
        <c:scaling>
          <c:orientation val="minMax"/>
          <c:max val="1"/>
          <c:min val="0"/>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Tahoma" panose="020B0604030504040204" pitchFamily="34" charset="0"/>
                <a:ea typeface="+mn-ea"/>
                <a:cs typeface="+mj-cs"/>
              </a:defRPr>
            </a:pPr>
            <a:endParaRPr lang="th-TH"/>
          </a:p>
        </c:txPr>
        <c:crossAx val="1658803199"/>
        <c:crosses val="autoZero"/>
        <c:crossBetween val="between"/>
      </c:valAx>
      <c:spPr>
        <a:noFill/>
        <a:ln>
          <a:solidFill>
            <a:schemeClr val="bg2"/>
          </a:solid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th-TH"/>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rtl="0">
              <a:defRPr lang="en-US" sz="1800" b="1" i="0" u="none" strike="noStrike" kern="1200" spc="0" baseline="0">
                <a:solidFill>
                  <a:sysClr val="windowText" lastClr="000000">
                    <a:lumMod val="65000"/>
                    <a:lumOff val="35000"/>
                  </a:sysClr>
                </a:solidFill>
                <a:latin typeface="Kanit Light" panose="00000400000000000000" pitchFamily="2" charset="-34"/>
                <a:ea typeface="+mn-ea"/>
                <a:cs typeface="Kanit Light" panose="00000400000000000000" pitchFamily="2" charset="-34"/>
              </a:defRPr>
            </a:pPr>
            <a:r>
              <a:rPr lang="th-TH" sz="18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ระดับการปฏิบัติตาม </a:t>
            </a:r>
            <a:r>
              <a:rPr lang="en-US" sz="18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Advanced controls (Control </a:t>
            </a:r>
            <a:r>
              <a:rPr lang="th-TH" sz="18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ของ ผปก. เสี่ยงสูง</a:t>
            </a:r>
            <a:r>
              <a:rPr lang="en-US" sz="18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 </a:t>
            </a:r>
            <a:br>
              <a:rPr lang="th-TH" sz="18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br>
            <a:r>
              <a:rPr lang="th-TH" sz="18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a:t>
            </a:r>
            <a:r>
              <a:rPr lang="en-US" sz="18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Compliance percentage of advanced controls)</a:t>
            </a:r>
          </a:p>
        </c:rich>
      </c:tx>
      <c:overlay val="0"/>
      <c:spPr>
        <a:noFill/>
        <a:ln>
          <a:noFill/>
        </a:ln>
        <a:effectLst/>
      </c:spPr>
      <c:txPr>
        <a:bodyPr rot="0" spcFirstLastPara="1" vertOverflow="ellipsis" vert="horz" wrap="square" anchor="ctr" anchorCtr="1"/>
        <a:lstStyle/>
        <a:p>
          <a:pPr algn="ctr" rtl="0">
            <a:defRPr lang="en-US" sz="1800" b="1" i="0" u="none" strike="noStrike" kern="1200" spc="0" baseline="0">
              <a:solidFill>
                <a:sysClr val="windowText" lastClr="000000">
                  <a:lumMod val="65000"/>
                  <a:lumOff val="35000"/>
                </a:sysClr>
              </a:solidFill>
              <a:latin typeface="Kanit Light" panose="00000400000000000000" pitchFamily="2" charset="-34"/>
              <a:ea typeface="+mn-ea"/>
              <a:cs typeface="Kanit Light" panose="00000400000000000000" pitchFamily="2" charset="-34"/>
            </a:defRPr>
          </a:pPr>
          <a:endParaRPr lang="th-TH"/>
        </a:p>
      </c:txPr>
    </c:title>
    <c:autoTitleDeleted val="0"/>
    <c:plotArea>
      <c:layout>
        <c:manualLayout>
          <c:layoutTarget val="inner"/>
          <c:xMode val="edge"/>
          <c:yMode val="edge"/>
          <c:x val="0.18730550531466103"/>
          <c:y val="0.26074620044974728"/>
          <c:w val="0.62794634151645756"/>
          <c:h val="0.70548519770330265"/>
        </c:manualLayout>
      </c:layout>
      <c:doughnutChart>
        <c:varyColors val="1"/>
        <c:ser>
          <c:idx val="0"/>
          <c:order val="0"/>
          <c:spPr>
            <a:solidFill>
              <a:schemeClr val="accent4"/>
            </a:solidFill>
          </c:spPr>
          <c:dPt>
            <c:idx val="0"/>
            <c:bubble3D val="0"/>
            <c:spPr>
              <a:solidFill>
                <a:schemeClr val="accent4"/>
              </a:solidFill>
              <a:ln w="19050">
                <a:solidFill>
                  <a:schemeClr val="lt1"/>
                </a:solidFill>
              </a:ln>
              <a:effectLst/>
            </c:spPr>
            <c:extLst xmlns:c15="http://schemas.microsoft.com/office/drawing/2012/chart">
              <c:ext xmlns:c16="http://schemas.microsoft.com/office/drawing/2014/chart" uri="{C3380CC4-5D6E-409C-BE32-E72D297353CC}">
                <c16:uniqueId val="{00000001-720F-413A-8516-4FD2BDA84D83}"/>
              </c:ext>
            </c:extLst>
          </c:dPt>
          <c:val>
            <c:numRef>
              <c:f>'6. Result'!#REF!</c:f>
              <c:numCache>
                <c:formatCode>General</c:formatCode>
                <c:ptCount val="1"/>
                <c:pt idx="0">
                  <c:v>1</c:v>
                </c:pt>
              </c:numCache>
              <c:extLst xmlns:c15="http://schemas.microsoft.com/office/drawing/2012/chart"/>
            </c:numRef>
          </c:val>
          <c:extLst xmlns:c15="http://schemas.microsoft.com/office/drawing/2012/chart">
            <c:ext xmlns:c16="http://schemas.microsoft.com/office/drawing/2014/chart" uri="{C3380CC4-5D6E-409C-BE32-E72D297353CC}">
              <c16:uniqueId val="{0000007A-720F-413A-8516-4FD2BDA84D83}"/>
            </c:ext>
          </c:extLst>
        </c:ser>
        <c:dLbls>
          <c:showLegendKey val="0"/>
          <c:showVal val="0"/>
          <c:showCatName val="0"/>
          <c:showSerName val="0"/>
          <c:showPercent val="0"/>
          <c:showBubbleSize val="0"/>
          <c:showLeaderLines val="1"/>
        </c:dLbls>
        <c:firstSliceAng val="0"/>
        <c:holeSize val="75"/>
        <c:extLst/>
      </c:doughnutChart>
      <c:pieChart>
        <c:varyColors val="1"/>
        <c:ser>
          <c:idx val="1"/>
          <c:order val="1"/>
          <c:tx>
            <c:v>Level</c:v>
          </c:tx>
          <c:dPt>
            <c:idx val="0"/>
            <c:bubble3D val="0"/>
            <c:spPr>
              <a:solidFill>
                <a:schemeClr val="accent4"/>
              </a:solidFill>
              <a:ln w="19050">
                <a:solidFill>
                  <a:schemeClr val="lt1"/>
                </a:solidFill>
              </a:ln>
              <a:effectLst/>
            </c:spPr>
            <c:extLst>
              <c:ext xmlns:c16="http://schemas.microsoft.com/office/drawing/2014/chart" uri="{C3380CC4-5D6E-409C-BE32-E72D297353CC}">
                <c16:uniqueId val="{0000007C-720F-413A-8516-4FD2BDA84D83}"/>
              </c:ext>
            </c:extLst>
          </c:dPt>
          <c:dPt>
            <c:idx val="1"/>
            <c:bubble3D val="0"/>
            <c:spPr>
              <a:solidFill>
                <a:schemeClr val="accent3">
                  <a:lumMod val="20000"/>
                  <a:lumOff val="80000"/>
                </a:schemeClr>
              </a:solidFill>
              <a:ln w="19050">
                <a:solidFill>
                  <a:schemeClr val="lt1"/>
                </a:solidFill>
              </a:ln>
              <a:effectLst/>
            </c:spPr>
            <c:extLst>
              <c:ext xmlns:c16="http://schemas.microsoft.com/office/drawing/2014/chart" uri="{C3380CC4-5D6E-409C-BE32-E72D297353CC}">
                <c16:uniqueId val="{0000007E-720F-413A-8516-4FD2BDA84D83}"/>
              </c:ext>
            </c:extLst>
          </c:dPt>
          <c:val>
            <c:numRef>
              <c:f>('6. Result'!$S$37,'6. Result'!$AI$36)</c:f>
              <c:numCache>
                <c:formatCode>0%</c:formatCode>
                <c:ptCount val="2"/>
                <c:pt idx="0">
                  <c:v>0</c:v>
                </c:pt>
                <c:pt idx="1">
                  <c:v>1</c:v>
                </c:pt>
              </c:numCache>
            </c:numRef>
          </c:val>
          <c:extLst>
            <c:ext xmlns:c16="http://schemas.microsoft.com/office/drawing/2014/chart" uri="{C3380CC4-5D6E-409C-BE32-E72D297353CC}">
              <c16:uniqueId val="{0000007F-720F-413A-8516-4FD2BDA84D83}"/>
            </c:ext>
          </c:extLst>
        </c:ser>
        <c:dLbls>
          <c:showLegendKey val="0"/>
          <c:showVal val="0"/>
          <c:showCatName val="0"/>
          <c:showSerName val="0"/>
          <c:showPercent val="0"/>
          <c:showBubbleSize val="0"/>
          <c:showLeaderLines val="1"/>
        </c:dLbls>
        <c:firstSliceAng val="0"/>
      </c:pieChart>
      <c:spPr>
        <a:noFill/>
        <a:ln>
          <a:noFill/>
        </a:ln>
        <a:effectLst/>
      </c:spPr>
    </c:plotArea>
    <c:plotVisOnly val="0"/>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th-TH"/>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r>
              <a:rPr lang="th-TH"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การจัดให้มีมาตรการควบคุมขั้นต่ำ (3 = เป็นไปตามความคาดหวังของสำนักงาน)</a:t>
            </a:r>
          </a:p>
        </c:rich>
      </c:tx>
      <c:layout>
        <c:manualLayout>
          <c:xMode val="edge"/>
          <c:yMode val="edge"/>
          <c:x val="0.12830867140601046"/>
          <c:y val="1.632716029543161E-2"/>
        </c:manualLayout>
      </c:layout>
      <c:overlay val="0"/>
      <c:spPr>
        <a:noFill/>
        <a:ln>
          <a:noFill/>
        </a:ln>
        <a:effectLst/>
      </c:spPr>
      <c:txPr>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endParaRPr lang="th-TH"/>
        </a:p>
      </c:txPr>
    </c:title>
    <c:autoTitleDeleted val="0"/>
    <c:plotArea>
      <c:layout>
        <c:manualLayout>
          <c:layoutTarget val="inner"/>
          <c:xMode val="edge"/>
          <c:yMode val="edge"/>
          <c:x val="0.28223542647757843"/>
          <c:y val="0.25837088365934086"/>
          <c:w val="0.43552914704484325"/>
          <c:h val="0.69587867762857636"/>
        </c:manualLayout>
      </c:layout>
      <c:radarChart>
        <c:radarStyle val="filled"/>
        <c:varyColors val="0"/>
        <c:ser>
          <c:idx val="0"/>
          <c:order val="0"/>
          <c:spPr>
            <a:solidFill>
              <a:srgbClr val="FFEFF0">
                <a:alpha val="50000"/>
              </a:srgbClr>
            </a:solidFill>
            <a:ln>
              <a:noFill/>
            </a:ln>
            <a:effectLst/>
          </c:spPr>
          <c:dLbls>
            <c:delete val="1"/>
          </c:dLbls>
          <c:cat>
            <c:strRef>
              <c:f>'6.1 Result (Cyber Hygiene)'!$O$7:$O$11</c:f>
              <c:strCache>
                <c:ptCount val="5"/>
                <c:pt idx="0">
                  <c:v>Third-Party Management</c:v>
                </c:pt>
                <c:pt idx="1">
                  <c:v>Access Control</c:v>
                </c:pt>
                <c:pt idx="2">
                  <c:v>IT Operations Security</c:v>
                </c:pt>
                <c:pt idx="3">
                  <c:v>IT Incident Management</c:v>
                </c:pt>
                <c:pt idx="4">
                  <c:v>IT Audit</c:v>
                </c:pt>
              </c:strCache>
            </c:strRef>
          </c:cat>
          <c:val>
            <c:numRef>
              <c:f>'6.1 Result (Cyber Hygiene)'!$P$7:$P$11</c:f>
              <c:numCache>
                <c:formatCode>General</c:formatCode>
                <c:ptCount val="5"/>
                <c:pt idx="0">
                  <c:v>3</c:v>
                </c:pt>
                <c:pt idx="1">
                  <c:v>3</c:v>
                </c:pt>
                <c:pt idx="2">
                  <c:v>3</c:v>
                </c:pt>
                <c:pt idx="3">
                  <c:v>3</c:v>
                </c:pt>
                <c:pt idx="4">
                  <c:v>3</c:v>
                </c:pt>
              </c:numCache>
            </c:numRef>
          </c:val>
          <c:extLst>
            <c:ext xmlns:c16="http://schemas.microsoft.com/office/drawing/2014/chart" uri="{C3380CC4-5D6E-409C-BE32-E72D297353CC}">
              <c16:uniqueId val="{00000000-3D01-4390-91AF-4E277B6BE350}"/>
            </c:ext>
          </c:extLst>
        </c:ser>
        <c:ser>
          <c:idx val="1"/>
          <c:order val="1"/>
          <c:spPr>
            <a:solidFill>
              <a:srgbClr val="FFC1C4">
                <a:alpha val="49804"/>
              </a:srgbClr>
            </a:solidFill>
            <a:ln>
              <a:noFill/>
            </a:ln>
            <a:effectLst/>
          </c:spPr>
          <c:dLbls>
            <c:delete val="1"/>
          </c:dLbls>
          <c:cat>
            <c:strRef>
              <c:f>'6.1 Result (Cyber Hygiene)'!$O$7:$O$11</c:f>
              <c:strCache>
                <c:ptCount val="5"/>
                <c:pt idx="0">
                  <c:v>Third-Party Management</c:v>
                </c:pt>
                <c:pt idx="1">
                  <c:v>Access Control</c:v>
                </c:pt>
                <c:pt idx="2">
                  <c:v>IT Operations Security</c:v>
                </c:pt>
                <c:pt idx="3">
                  <c:v>IT Incident Management</c:v>
                </c:pt>
                <c:pt idx="4">
                  <c:v>IT Audit</c:v>
                </c:pt>
              </c:strCache>
            </c:strRef>
          </c:cat>
          <c:val>
            <c:numRef>
              <c:f>'6.1 Result (Cyber Hygiene)'!$Q$7:$Q$11</c:f>
              <c:numCache>
                <c:formatCode>General</c:formatCode>
                <c:ptCount val="5"/>
                <c:pt idx="0">
                  <c:v>2</c:v>
                </c:pt>
                <c:pt idx="1">
                  <c:v>2</c:v>
                </c:pt>
                <c:pt idx="2">
                  <c:v>2</c:v>
                </c:pt>
                <c:pt idx="3">
                  <c:v>2</c:v>
                </c:pt>
                <c:pt idx="4">
                  <c:v>2</c:v>
                </c:pt>
              </c:numCache>
            </c:numRef>
          </c:val>
          <c:extLst>
            <c:ext xmlns:c16="http://schemas.microsoft.com/office/drawing/2014/chart" uri="{C3380CC4-5D6E-409C-BE32-E72D297353CC}">
              <c16:uniqueId val="{00000001-3D01-4390-91AF-4E277B6BE350}"/>
            </c:ext>
          </c:extLst>
        </c:ser>
        <c:ser>
          <c:idx val="2"/>
          <c:order val="2"/>
          <c:spPr>
            <a:solidFill>
              <a:srgbClr val="FFB3B5">
                <a:alpha val="50000"/>
              </a:srgbClr>
            </a:solidFill>
            <a:ln>
              <a:noFill/>
            </a:ln>
            <a:effectLst/>
          </c:spPr>
          <c:dLbls>
            <c:delete val="1"/>
          </c:dLbls>
          <c:cat>
            <c:strRef>
              <c:f>'6.1 Result (Cyber Hygiene)'!$O$7:$O$11</c:f>
              <c:strCache>
                <c:ptCount val="5"/>
                <c:pt idx="0">
                  <c:v>Third-Party Management</c:v>
                </c:pt>
                <c:pt idx="1">
                  <c:v>Access Control</c:v>
                </c:pt>
                <c:pt idx="2">
                  <c:v>IT Operations Security</c:v>
                </c:pt>
                <c:pt idx="3">
                  <c:v>IT Incident Management</c:v>
                </c:pt>
                <c:pt idx="4">
                  <c:v>IT Audit</c:v>
                </c:pt>
              </c:strCache>
            </c:strRef>
          </c:cat>
          <c:val>
            <c:numRef>
              <c:f>'6.1 Result (Cyber Hygiene)'!$R$7:$R$11</c:f>
              <c:numCache>
                <c:formatCode>General</c:formatCode>
                <c:ptCount val="5"/>
                <c:pt idx="0">
                  <c:v>1</c:v>
                </c:pt>
                <c:pt idx="1">
                  <c:v>1</c:v>
                </c:pt>
                <c:pt idx="2">
                  <c:v>1</c:v>
                </c:pt>
                <c:pt idx="3">
                  <c:v>1</c:v>
                </c:pt>
                <c:pt idx="4">
                  <c:v>1</c:v>
                </c:pt>
              </c:numCache>
            </c:numRef>
          </c:val>
          <c:extLst>
            <c:ext xmlns:c16="http://schemas.microsoft.com/office/drawing/2014/chart" uri="{C3380CC4-5D6E-409C-BE32-E72D297353CC}">
              <c16:uniqueId val="{00000002-3D01-4390-91AF-4E277B6BE350}"/>
            </c:ext>
          </c:extLst>
        </c:ser>
        <c:ser>
          <c:idx val="3"/>
          <c:order val="3"/>
          <c:spPr>
            <a:gradFill>
              <a:gsLst>
                <a:gs pos="0">
                  <a:srgbClr val="AFE9FF">
                    <a:alpha val="50000"/>
                  </a:srgbClr>
                </a:gs>
                <a:gs pos="100000">
                  <a:srgbClr val="E0FFCC">
                    <a:alpha val="50000"/>
                  </a:srgbClr>
                </a:gs>
              </a:gsLst>
              <a:lin ang="5400000" scaled="1"/>
            </a:gradFill>
            <a:ln w="25400">
              <a:gradFill>
                <a:gsLst>
                  <a:gs pos="40000">
                    <a:schemeClr val="tx1"/>
                  </a:gs>
                  <a:gs pos="100000">
                    <a:schemeClr val="tx1"/>
                  </a:gs>
                </a:gsLst>
                <a:lin ang="5400000" scaled="1"/>
              </a:gradFill>
            </a:ln>
            <a:effectLst/>
          </c:spP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th-TH"/>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'6.1 Result (Cyber Hygiene)'!$O$7:$O$11</c:f>
              <c:strCache>
                <c:ptCount val="5"/>
                <c:pt idx="0">
                  <c:v>Third-Party Management</c:v>
                </c:pt>
                <c:pt idx="1">
                  <c:v>Access Control</c:v>
                </c:pt>
                <c:pt idx="2">
                  <c:v>IT Operations Security</c:v>
                </c:pt>
                <c:pt idx="3">
                  <c:v>IT Incident Management</c:v>
                </c:pt>
                <c:pt idx="4">
                  <c:v>IT Audit</c:v>
                </c:pt>
              </c:strCache>
            </c:strRef>
          </c:cat>
          <c:val>
            <c:numRef>
              <c:f>'6.1 Result (Cyber Hygiene)'!$S$7:$S$11</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3-3D01-4390-91AF-4E277B6BE350}"/>
            </c:ext>
          </c:extLst>
        </c:ser>
        <c:dLbls>
          <c:showLegendKey val="0"/>
          <c:showVal val="1"/>
          <c:showCatName val="0"/>
          <c:showSerName val="0"/>
          <c:showPercent val="0"/>
          <c:showBubbleSize val="0"/>
        </c:dLbls>
        <c:axId val="1407109199"/>
        <c:axId val="1407103919"/>
      </c:radarChart>
      <c:catAx>
        <c:axId val="140710919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th-TH"/>
          </a:p>
        </c:txPr>
        <c:crossAx val="1407103919"/>
        <c:crosses val="autoZero"/>
        <c:auto val="1"/>
        <c:lblAlgn val="ctr"/>
        <c:lblOffset val="100"/>
        <c:noMultiLvlLbl val="0"/>
      </c:catAx>
      <c:valAx>
        <c:axId val="1407103919"/>
        <c:scaling>
          <c:orientation val="minMax"/>
        </c:scaling>
        <c:delete val="1"/>
        <c:axPos val="l"/>
        <c:majorGridlines>
          <c:spPr>
            <a:ln w="9525" cap="flat" cmpd="sng" algn="ctr">
              <a:solidFill>
                <a:schemeClr val="tx1">
                  <a:lumMod val="15000"/>
                  <a:lumOff val="85000"/>
                </a:schemeClr>
              </a:solidFill>
              <a:round/>
            </a:ln>
            <a:effectLst/>
          </c:spPr>
        </c:majorGridlines>
        <c:minorGridlines>
          <c:spPr>
            <a:ln w="9525" cap="flat" cmpd="sng" algn="ctr">
              <a:solidFill>
                <a:schemeClr val="tx1">
                  <a:lumMod val="5000"/>
                  <a:lumOff val="95000"/>
                </a:schemeClr>
              </a:solidFill>
              <a:round/>
            </a:ln>
            <a:effectLst/>
          </c:spPr>
        </c:minorGridlines>
        <c:numFmt formatCode="General" sourceLinked="1"/>
        <c:majorTickMark val="none"/>
        <c:minorTickMark val="none"/>
        <c:tickLblPos val="nextTo"/>
        <c:crossAx val="1407109199"/>
        <c:crosses val="autoZero"/>
        <c:crossBetween val="between"/>
      </c:valAx>
      <c:spPr>
        <a:noFill/>
        <a:ln>
          <a:noFill/>
        </a:ln>
        <a:effectLst/>
      </c:spPr>
    </c:plotArea>
    <c:plotVisOnly val="0"/>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th-TH"/>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th-TH"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ระดับคะแนนรวม (</a:t>
            </a:r>
            <a:r>
              <a:rPr lang="en-US"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maturity</a:t>
            </a:r>
            <a:r>
              <a:rPr lang="th-TH"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a:t>
            </a:r>
            <a:r>
              <a:rPr lang="en-US"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 </a:t>
            </a:r>
            <a:r>
              <a:rPr lang="th-TH"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ในแต่ละด้าน</a:t>
            </a:r>
            <a:r>
              <a:rPr lang="en-US"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 (</a:t>
            </a:r>
            <a:r>
              <a:rPr lang="th-TH"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สูงสุด </a:t>
            </a:r>
            <a:r>
              <a:rPr lang="en-US"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5 </a:t>
            </a:r>
            <a:r>
              <a:rPr lang="th-TH" sz="1400" b="1" i="0" u="sng"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ยกเว้น </a:t>
            </a:r>
            <a:r>
              <a:rPr lang="en-US" sz="1400" b="1" i="0" u="sng"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IT Audit </a:t>
            </a:r>
            <a:r>
              <a:rPr lang="th-TH" sz="1400" b="1" i="0" u="sng"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สูงสุดคือ </a:t>
            </a:r>
            <a:r>
              <a:rPr lang="en-US" sz="1400" b="1" i="0" u="sng"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3</a:t>
            </a:r>
            <a:r>
              <a:rPr lang="en-US"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a:t>
            </a:r>
            <a:endParaRPr lang="th-TH"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th-TH"/>
        </a:p>
      </c:txPr>
    </c:title>
    <c:autoTitleDeleted val="0"/>
    <c:plotArea>
      <c:layout>
        <c:manualLayout>
          <c:layoutTarget val="inner"/>
          <c:xMode val="edge"/>
          <c:yMode val="edge"/>
          <c:x val="0.29023487559961819"/>
          <c:y val="0.24970260788524057"/>
          <c:w val="0.40046651025409041"/>
          <c:h val="0.68938756359077946"/>
        </c:manualLayout>
      </c:layout>
      <c:radarChart>
        <c:radarStyle val="filled"/>
        <c:varyColors val="0"/>
        <c:ser>
          <c:idx val="0"/>
          <c:order val="0"/>
          <c:spPr>
            <a:solidFill>
              <a:srgbClr val="B2F7EF">
                <a:alpha val="30000"/>
              </a:srgbClr>
            </a:solidFill>
            <a:ln>
              <a:noFill/>
            </a:ln>
            <a:effectLst/>
          </c:spPr>
          <c:dLbls>
            <c:delete val="1"/>
          </c:dLbls>
          <c:cat>
            <c:strRef>
              <c:f>'6.1 Result (Cyber Hygiene)'!$O$13:$O$17</c:f>
              <c:strCache>
                <c:ptCount val="5"/>
                <c:pt idx="0">
                  <c:v>Third-Party Management</c:v>
                </c:pt>
                <c:pt idx="1">
                  <c:v>Access Control</c:v>
                </c:pt>
                <c:pt idx="2">
                  <c:v>IT Operations Security</c:v>
                </c:pt>
                <c:pt idx="3">
                  <c:v>IT Incident Management</c:v>
                </c:pt>
                <c:pt idx="4">
                  <c:v>IT Audit</c:v>
                </c:pt>
              </c:strCache>
            </c:strRef>
          </c:cat>
          <c:val>
            <c:numRef>
              <c:f>'6.1 Result (Cyber Hygiene)'!$P$13:$P$17</c:f>
              <c:numCache>
                <c:formatCode>General</c:formatCode>
                <c:ptCount val="5"/>
                <c:pt idx="0">
                  <c:v>5</c:v>
                </c:pt>
                <c:pt idx="1">
                  <c:v>5</c:v>
                </c:pt>
                <c:pt idx="2">
                  <c:v>5</c:v>
                </c:pt>
                <c:pt idx="3">
                  <c:v>5</c:v>
                </c:pt>
                <c:pt idx="4">
                  <c:v>5</c:v>
                </c:pt>
              </c:numCache>
            </c:numRef>
          </c:val>
          <c:extLst>
            <c:ext xmlns:c16="http://schemas.microsoft.com/office/drawing/2014/chart" uri="{C3380CC4-5D6E-409C-BE32-E72D297353CC}">
              <c16:uniqueId val="{00000000-50BA-4597-A077-83056B9B5A34}"/>
            </c:ext>
          </c:extLst>
        </c:ser>
        <c:ser>
          <c:idx val="1"/>
          <c:order val="1"/>
          <c:spPr>
            <a:solidFill>
              <a:srgbClr val="E0FFCC">
                <a:alpha val="30000"/>
              </a:srgbClr>
            </a:solidFill>
            <a:ln>
              <a:noFill/>
            </a:ln>
            <a:effectLst/>
          </c:spPr>
          <c:dLbls>
            <c:delete val="1"/>
          </c:dLbls>
          <c:cat>
            <c:strRef>
              <c:f>'6.1 Result (Cyber Hygiene)'!$O$13:$O$17</c:f>
              <c:strCache>
                <c:ptCount val="5"/>
                <c:pt idx="0">
                  <c:v>Third-Party Management</c:v>
                </c:pt>
                <c:pt idx="1">
                  <c:v>Access Control</c:v>
                </c:pt>
                <c:pt idx="2">
                  <c:v>IT Operations Security</c:v>
                </c:pt>
                <c:pt idx="3">
                  <c:v>IT Incident Management</c:v>
                </c:pt>
                <c:pt idx="4">
                  <c:v>IT Audit</c:v>
                </c:pt>
              </c:strCache>
            </c:strRef>
          </c:cat>
          <c:val>
            <c:numRef>
              <c:f>'6.1 Result (Cyber Hygiene)'!$Q$13:$Q$17</c:f>
              <c:numCache>
                <c:formatCode>General</c:formatCode>
                <c:ptCount val="5"/>
                <c:pt idx="0">
                  <c:v>4</c:v>
                </c:pt>
                <c:pt idx="1">
                  <c:v>4</c:v>
                </c:pt>
                <c:pt idx="2">
                  <c:v>4</c:v>
                </c:pt>
                <c:pt idx="3">
                  <c:v>4</c:v>
                </c:pt>
                <c:pt idx="4">
                  <c:v>4</c:v>
                </c:pt>
              </c:numCache>
            </c:numRef>
          </c:val>
          <c:extLst>
            <c:ext xmlns:c16="http://schemas.microsoft.com/office/drawing/2014/chart" uri="{C3380CC4-5D6E-409C-BE32-E72D297353CC}">
              <c16:uniqueId val="{00000001-50BA-4597-A077-83056B9B5A34}"/>
            </c:ext>
          </c:extLst>
        </c:ser>
        <c:ser>
          <c:idx val="2"/>
          <c:order val="2"/>
          <c:spPr>
            <a:solidFill>
              <a:srgbClr val="FFC1C4">
                <a:alpha val="50000"/>
              </a:srgbClr>
            </a:solidFill>
            <a:ln>
              <a:noFill/>
            </a:ln>
            <a:effectLst/>
          </c:spPr>
          <c:dLbls>
            <c:delete val="1"/>
          </c:dLbls>
          <c:cat>
            <c:strRef>
              <c:f>'6.1 Result (Cyber Hygiene)'!$O$13:$O$17</c:f>
              <c:strCache>
                <c:ptCount val="5"/>
                <c:pt idx="0">
                  <c:v>Third-Party Management</c:v>
                </c:pt>
                <c:pt idx="1">
                  <c:v>Access Control</c:v>
                </c:pt>
                <c:pt idx="2">
                  <c:v>IT Operations Security</c:v>
                </c:pt>
                <c:pt idx="3">
                  <c:v>IT Incident Management</c:v>
                </c:pt>
                <c:pt idx="4">
                  <c:v>IT Audit</c:v>
                </c:pt>
              </c:strCache>
            </c:strRef>
          </c:cat>
          <c:val>
            <c:numRef>
              <c:f>'6.1 Result (Cyber Hygiene)'!$R$13:$R$17</c:f>
              <c:numCache>
                <c:formatCode>General</c:formatCode>
                <c:ptCount val="5"/>
                <c:pt idx="0">
                  <c:v>3</c:v>
                </c:pt>
                <c:pt idx="1">
                  <c:v>3</c:v>
                </c:pt>
                <c:pt idx="2">
                  <c:v>3</c:v>
                </c:pt>
                <c:pt idx="3">
                  <c:v>3</c:v>
                </c:pt>
                <c:pt idx="4">
                  <c:v>3</c:v>
                </c:pt>
              </c:numCache>
            </c:numRef>
          </c:val>
          <c:extLst>
            <c:ext xmlns:c16="http://schemas.microsoft.com/office/drawing/2014/chart" uri="{C3380CC4-5D6E-409C-BE32-E72D297353CC}">
              <c16:uniqueId val="{00000002-50BA-4597-A077-83056B9B5A34}"/>
            </c:ext>
          </c:extLst>
        </c:ser>
        <c:ser>
          <c:idx val="3"/>
          <c:order val="3"/>
          <c:spPr>
            <a:solidFill>
              <a:srgbClr val="FFE5E6">
                <a:alpha val="50000"/>
              </a:srgbClr>
            </a:solidFill>
            <a:ln>
              <a:noFill/>
            </a:ln>
            <a:effectLst/>
          </c:spPr>
          <c:dLbls>
            <c:delete val="1"/>
          </c:dLbls>
          <c:cat>
            <c:strRef>
              <c:f>'6.1 Result (Cyber Hygiene)'!$O$13:$O$17</c:f>
              <c:strCache>
                <c:ptCount val="5"/>
                <c:pt idx="0">
                  <c:v>Third-Party Management</c:v>
                </c:pt>
                <c:pt idx="1">
                  <c:v>Access Control</c:v>
                </c:pt>
                <c:pt idx="2">
                  <c:v>IT Operations Security</c:v>
                </c:pt>
                <c:pt idx="3">
                  <c:v>IT Incident Management</c:v>
                </c:pt>
                <c:pt idx="4">
                  <c:v>IT Audit</c:v>
                </c:pt>
              </c:strCache>
            </c:strRef>
          </c:cat>
          <c:val>
            <c:numRef>
              <c:f>'6.1 Result (Cyber Hygiene)'!$S$13:$S$17</c:f>
              <c:numCache>
                <c:formatCode>General</c:formatCode>
                <c:ptCount val="5"/>
                <c:pt idx="0">
                  <c:v>2</c:v>
                </c:pt>
                <c:pt idx="1">
                  <c:v>2</c:v>
                </c:pt>
                <c:pt idx="2">
                  <c:v>2</c:v>
                </c:pt>
                <c:pt idx="3">
                  <c:v>2</c:v>
                </c:pt>
                <c:pt idx="4">
                  <c:v>2</c:v>
                </c:pt>
              </c:numCache>
            </c:numRef>
          </c:val>
          <c:extLst>
            <c:ext xmlns:c16="http://schemas.microsoft.com/office/drawing/2014/chart" uri="{C3380CC4-5D6E-409C-BE32-E72D297353CC}">
              <c16:uniqueId val="{00000003-50BA-4597-A077-83056B9B5A34}"/>
            </c:ext>
          </c:extLst>
        </c:ser>
        <c:ser>
          <c:idx val="4"/>
          <c:order val="4"/>
          <c:spPr>
            <a:solidFill>
              <a:srgbClr val="FFB3B5">
                <a:alpha val="50000"/>
              </a:srgbClr>
            </a:solidFill>
            <a:ln>
              <a:noFill/>
            </a:ln>
            <a:effectLst/>
          </c:spPr>
          <c:dLbls>
            <c:delete val="1"/>
          </c:dLbls>
          <c:cat>
            <c:strRef>
              <c:f>'6.1 Result (Cyber Hygiene)'!$O$13:$O$17</c:f>
              <c:strCache>
                <c:ptCount val="5"/>
                <c:pt idx="0">
                  <c:v>Third-Party Management</c:v>
                </c:pt>
                <c:pt idx="1">
                  <c:v>Access Control</c:v>
                </c:pt>
                <c:pt idx="2">
                  <c:v>IT Operations Security</c:v>
                </c:pt>
                <c:pt idx="3">
                  <c:v>IT Incident Management</c:v>
                </c:pt>
                <c:pt idx="4">
                  <c:v>IT Audit</c:v>
                </c:pt>
              </c:strCache>
            </c:strRef>
          </c:cat>
          <c:val>
            <c:numRef>
              <c:f>'6.1 Result (Cyber Hygiene)'!$T$13:$T$17</c:f>
              <c:numCache>
                <c:formatCode>General</c:formatCode>
                <c:ptCount val="5"/>
                <c:pt idx="0">
                  <c:v>1</c:v>
                </c:pt>
                <c:pt idx="1">
                  <c:v>1</c:v>
                </c:pt>
                <c:pt idx="2">
                  <c:v>1</c:v>
                </c:pt>
                <c:pt idx="3">
                  <c:v>1</c:v>
                </c:pt>
                <c:pt idx="4">
                  <c:v>1</c:v>
                </c:pt>
              </c:numCache>
            </c:numRef>
          </c:val>
          <c:extLst>
            <c:ext xmlns:c16="http://schemas.microsoft.com/office/drawing/2014/chart" uri="{C3380CC4-5D6E-409C-BE32-E72D297353CC}">
              <c16:uniqueId val="{00000004-50BA-4597-A077-83056B9B5A34}"/>
            </c:ext>
          </c:extLst>
        </c:ser>
        <c:ser>
          <c:idx val="5"/>
          <c:order val="5"/>
          <c:spPr>
            <a:gradFill>
              <a:gsLst>
                <a:gs pos="0">
                  <a:srgbClr val="A8E6CF">
                    <a:alpha val="50000"/>
                  </a:srgbClr>
                </a:gs>
                <a:gs pos="100000">
                  <a:srgbClr val="AFE9FF">
                    <a:alpha val="50000"/>
                  </a:srgbClr>
                </a:gs>
              </a:gsLst>
              <a:lin ang="5400000" scaled="1"/>
            </a:gradFill>
            <a:ln w="25400">
              <a:solidFill>
                <a:schemeClr val="tx1"/>
              </a:solidFill>
            </a:ln>
            <a:effectLst/>
          </c:spPr>
          <c:dLbls>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75000"/>
                        <a:lumOff val="25000"/>
                      </a:schemeClr>
                    </a:solidFill>
                    <a:latin typeface="+mn-lt"/>
                    <a:ea typeface="+mn-ea"/>
                    <a:cs typeface="+mn-cs"/>
                  </a:defRPr>
                </a:pPr>
                <a:endParaRPr lang="th-TH"/>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'6.1 Result (Cyber Hygiene)'!$O$13:$O$17</c:f>
              <c:strCache>
                <c:ptCount val="5"/>
                <c:pt idx="0">
                  <c:v>Third-Party Management</c:v>
                </c:pt>
                <c:pt idx="1">
                  <c:v>Access Control</c:v>
                </c:pt>
                <c:pt idx="2">
                  <c:v>IT Operations Security</c:v>
                </c:pt>
                <c:pt idx="3">
                  <c:v>IT Incident Management</c:v>
                </c:pt>
                <c:pt idx="4">
                  <c:v>IT Audit</c:v>
                </c:pt>
              </c:strCache>
            </c:strRef>
          </c:cat>
          <c:val>
            <c:numRef>
              <c:f>'6.1 Result (Cyber Hygiene)'!$U$13:$U$17</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5-50BA-4597-A077-83056B9B5A34}"/>
            </c:ext>
          </c:extLst>
        </c:ser>
        <c:dLbls>
          <c:showLegendKey val="0"/>
          <c:showVal val="1"/>
          <c:showCatName val="0"/>
          <c:showSerName val="0"/>
          <c:showPercent val="0"/>
          <c:showBubbleSize val="0"/>
        </c:dLbls>
        <c:axId val="1194282991"/>
        <c:axId val="1194271471"/>
      </c:radarChart>
      <c:catAx>
        <c:axId val="119428299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th-TH"/>
          </a:p>
        </c:txPr>
        <c:crossAx val="1194271471"/>
        <c:crosses val="autoZero"/>
        <c:auto val="1"/>
        <c:lblAlgn val="ctr"/>
        <c:lblOffset val="100"/>
        <c:noMultiLvlLbl val="0"/>
      </c:catAx>
      <c:valAx>
        <c:axId val="1194271471"/>
        <c:scaling>
          <c:orientation val="minMax"/>
        </c:scaling>
        <c:delete val="1"/>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crossAx val="1194282991"/>
        <c:crosses val="autoZero"/>
        <c:crossBetween val="between"/>
      </c:valAx>
      <c:spPr>
        <a:noFill/>
        <a:ln>
          <a:noFill/>
        </a:ln>
        <a:effectLst/>
      </c:spPr>
    </c:plotArea>
    <c:plotVisOnly val="0"/>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th-TH"/>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th-TH"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ระดับคะแนนตาม</a:t>
            </a:r>
            <a:r>
              <a:rPr lang="en-US"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 function </a:t>
            </a:r>
            <a:r>
              <a:rPr lang="th-TH"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ของ </a:t>
            </a:r>
            <a:r>
              <a:rPr lang="en-US"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NIST Cyber Security Framework 2.0</a:t>
            </a:r>
            <a:endParaRPr lang="th-TH"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th-TH"/>
        </a:p>
      </c:txPr>
    </c:title>
    <c:autoTitleDeleted val="0"/>
    <c:plotArea>
      <c:layout/>
      <c:barChart>
        <c:barDir val="col"/>
        <c:grouping val="clustered"/>
        <c:varyColors val="0"/>
        <c:ser>
          <c:idx val="0"/>
          <c:order val="0"/>
          <c:spPr>
            <a:solidFill>
              <a:schemeClr val="accent1"/>
            </a:solidFill>
            <a:ln>
              <a:noFill/>
            </a:ln>
            <a:effectLst/>
          </c:spPr>
          <c:invertIfNegative val="0"/>
          <c:dPt>
            <c:idx val="0"/>
            <c:invertIfNegative val="0"/>
            <c:bubble3D val="0"/>
            <c:spPr>
              <a:solidFill>
                <a:srgbClr val="FFFFCC"/>
              </a:solidFill>
              <a:ln w="9525">
                <a:solidFill>
                  <a:schemeClr val="tx1"/>
                </a:solidFill>
              </a:ln>
              <a:effectLst/>
            </c:spPr>
            <c:extLst>
              <c:ext xmlns:c16="http://schemas.microsoft.com/office/drawing/2014/chart" uri="{C3380CC4-5D6E-409C-BE32-E72D297353CC}">
                <c16:uniqueId val="{00000001-FAF4-4105-AC49-CE0267C0B34B}"/>
              </c:ext>
            </c:extLst>
          </c:dPt>
          <c:dPt>
            <c:idx val="1"/>
            <c:invertIfNegative val="0"/>
            <c:bubble3D val="0"/>
            <c:spPr>
              <a:solidFill>
                <a:srgbClr val="B2F7EF"/>
              </a:solidFill>
              <a:ln>
                <a:solidFill>
                  <a:schemeClr val="tx1"/>
                </a:solidFill>
              </a:ln>
              <a:effectLst/>
            </c:spPr>
            <c:extLst>
              <c:ext xmlns:c16="http://schemas.microsoft.com/office/drawing/2014/chart" uri="{C3380CC4-5D6E-409C-BE32-E72D297353CC}">
                <c16:uniqueId val="{00000002-FAF4-4105-AC49-CE0267C0B34B}"/>
              </c:ext>
            </c:extLst>
          </c:dPt>
          <c:dPt>
            <c:idx val="2"/>
            <c:invertIfNegative val="0"/>
            <c:bubble3D val="0"/>
            <c:spPr>
              <a:solidFill>
                <a:srgbClr val="CCCCFF"/>
              </a:solidFill>
              <a:ln>
                <a:solidFill>
                  <a:schemeClr val="tx1"/>
                </a:solidFill>
              </a:ln>
              <a:effectLst/>
            </c:spPr>
            <c:extLst>
              <c:ext xmlns:c16="http://schemas.microsoft.com/office/drawing/2014/chart" uri="{C3380CC4-5D6E-409C-BE32-E72D297353CC}">
                <c16:uniqueId val="{00000003-FAF4-4105-AC49-CE0267C0B34B}"/>
              </c:ext>
            </c:extLst>
          </c:dPt>
          <c:dPt>
            <c:idx val="3"/>
            <c:invertIfNegative val="0"/>
            <c:bubble3D val="0"/>
            <c:spPr>
              <a:solidFill>
                <a:srgbClr val="FAC56E"/>
              </a:solidFill>
              <a:ln>
                <a:solidFill>
                  <a:schemeClr val="tx1"/>
                </a:solidFill>
              </a:ln>
              <a:effectLst/>
            </c:spPr>
            <c:extLst>
              <c:ext xmlns:c16="http://schemas.microsoft.com/office/drawing/2014/chart" uri="{C3380CC4-5D6E-409C-BE32-E72D297353CC}">
                <c16:uniqueId val="{00000004-FAF4-4105-AC49-CE0267C0B34B}"/>
              </c:ext>
            </c:extLst>
          </c:dPt>
          <c:dPt>
            <c:idx val="4"/>
            <c:invertIfNegative val="0"/>
            <c:bubble3D val="0"/>
            <c:spPr>
              <a:solidFill>
                <a:srgbClr val="FFB793"/>
              </a:solidFill>
              <a:ln>
                <a:solidFill>
                  <a:schemeClr val="tx1"/>
                </a:solidFill>
              </a:ln>
              <a:effectLst/>
            </c:spPr>
            <c:extLst>
              <c:ext xmlns:c16="http://schemas.microsoft.com/office/drawing/2014/chart" uri="{C3380CC4-5D6E-409C-BE32-E72D297353CC}">
                <c16:uniqueId val="{00000005-FAF4-4105-AC49-CE0267C0B34B}"/>
              </c:ext>
            </c:extLst>
          </c:dPt>
          <c:dLbls>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th-TH"/>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'6.1 Result (Cyber Hygiene)'!$O$19:$O$23</c:f>
              <c:strCache>
                <c:ptCount val="5"/>
                <c:pt idx="0">
                  <c:v>Govern</c:v>
                </c:pt>
                <c:pt idx="1">
                  <c:v>Identify</c:v>
                </c:pt>
                <c:pt idx="2">
                  <c:v>Protect</c:v>
                </c:pt>
                <c:pt idx="3">
                  <c:v>Detect</c:v>
                </c:pt>
                <c:pt idx="4">
                  <c:v>Response</c:v>
                </c:pt>
              </c:strCache>
            </c:strRef>
          </c:cat>
          <c:val>
            <c:numRef>
              <c:f>'6.1 Result (Cyber Hygiene)'!$P$19:$P$23</c:f>
              <c:numCache>
                <c:formatCode>0%</c:formatCode>
                <c:ptCount val="5"/>
                <c:pt idx="0">
                  <c:v>0</c:v>
                </c:pt>
                <c:pt idx="1">
                  <c:v>0</c:v>
                </c:pt>
                <c:pt idx="2">
                  <c:v>0</c:v>
                </c:pt>
                <c:pt idx="3">
                  <c:v>0</c:v>
                </c:pt>
                <c:pt idx="4">
                  <c:v>0</c:v>
                </c:pt>
              </c:numCache>
            </c:numRef>
          </c:val>
          <c:extLst>
            <c:ext xmlns:c16="http://schemas.microsoft.com/office/drawing/2014/chart" uri="{C3380CC4-5D6E-409C-BE32-E72D297353CC}">
              <c16:uniqueId val="{00000000-FAF4-4105-AC49-CE0267C0B34B}"/>
            </c:ext>
          </c:extLst>
        </c:ser>
        <c:dLbls>
          <c:dLblPos val="outEnd"/>
          <c:showLegendKey val="0"/>
          <c:showVal val="1"/>
          <c:showCatName val="0"/>
          <c:showSerName val="0"/>
          <c:showPercent val="0"/>
          <c:showBubbleSize val="0"/>
        </c:dLbls>
        <c:gapWidth val="219"/>
        <c:overlap val="-27"/>
        <c:axId val="1202473967"/>
        <c:axId val="1202463887"/>
      </c:barChart>
      <c:catAx>
        <c:axId val="120247396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th-TH"/>
          </a:p>
        </c:txPr>
        <c:crossAx val="1202463887"/>
        <c:crosses val="autoZero"/>
        <c:auto val="1"/>
        <c:lblAlgn val="ctr"/>
        <c:lblOffset val="100"/>
        <c:noMultiLvlLbl val="0"/>
      </c:catAx>
      <c:valAx>
        <c:axId val="1202463887"/>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th-TH"/>
          </a:p>
        </c:txPr>
        <c:crossAx val="1202473967"/>
        <c:crosses val="autoZero"/>
        <c:crossBetween val="between"/>
      </c:valAx>
      <c:spPr>
        <a:noFill/>
        <a:ln>
          <a:solidFill>
            <a:schemeClr val="bg2"/>
          </a:solid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th-TH"/>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th-TH"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ระดับคะแนนรวม (</a:t>
            </a:r>
            <a:r>
              <a:rPr lang="en-US"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maturity</a:t>
            </a:r>
            <a:r>
              <a:rPr lang="th-TH"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a:t>
            </a:r>
            <a:r>
              <a:rPr lang="en-US"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 </a:t>
            </a:r>
            <a:r>
              <a:rPr lang="th-TH"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ในแต่ละด้าน</a:t>
            </a:r>
            <a:r>
              <a:rPr lang="en-US"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 (</a:t>
            </a:r>
            <a:r>
              <a:rPr lang="th-TH"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สูงสุด </a:t>
            </a:r>
            <a:r>
              <a:rPr lang="en-US"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5 </a:t>
            </a:r>
            <a:r>
              <a:rPr lang="th-TH" sz="1400" b="1" i="0" u="sng"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ยกเว้น </a:t>
            </a:r>
            <a:r>
              <a:rPr lang="en-US" sz="1400" b="1" i="0" u="sng"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IT Audit </a:t>
            </a:r>
            <a:r>
              <a:rPr lang="th-TH" sz="1400" b="1" i="0" u="sng"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สูงสุดคือ </a:t>
            </a:r>
            <a:r>
              <a:rPr lang="en-US" sz="1400" b="1" i="0" u="sng"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3</a:t>
            </a:r>
            <a:r>
              <a:rPr lang="en-US"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a:t>
            </a:r>
            <a:endParaRPr lang="th-TH"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th-TH"/>
        </a:p>
      </c:txPr>
    </c:title>
    <c:autoTitleDeleted val="0"/>
    <c:plotArea>
      <c:layout/>
      <c:barChart>
        <c:barDir val="col"/>
        <c:grouping val="stacked"/>
        <c:varyColors val="0"/>
        <c:ser>
          <c:idx val="0"/>
          <c:order val="0"/>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th-TH"/>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'6.1 Result (Cyber Hygiene)'!$O$25:$O$29</c:f>
              <c:strCache>
                <c:ptCount val="5"/>
                <c:pt idx="0">
                  <c:v>Third-Party Management</c:v>
                </c:pt>
                <c:pt idx="1">
                  <c:v>Access Control</c:v>
                </c:pt>
                <c:pt idx="2">
                  <c:v>IT Operations Security</c:v>
                </c:pt>
                <c:pt idx="3">
                  <c:v>IT Incident Management</c:v>
                </c:pt>
                <c:pt idx="4">
                  <c:v>IT Audit</c:v>
                </c:pt>
              </c:strCache>
            </c:strRef>
          </c:cat>
          <c:val>
            <c:numRef>
              <c:f>'6.1 Result (Cyber Hygiene)'!$P$25:$P$29</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D370-4A8D-A709-92629C8541AD}"/>
            </c:ext>
          </c:extLst>
        </c:ser>
        <c:ser>
          <c:idx val="1"/>
          <c:order val="1"/>
          <c:spPr>
            <a:solidFill>
              <a:schemeClr val="accent2"/>
            </a:solidFill>
            <a:ln>
              <a:noFill/>
            </a:ln>
            <a:effectLst/>
          </c:spPr>
          <c:invertIfNegative val="0"/>
          <c:dLbls>
            <c:dLbl>
              <c:idx val="1"/>
              <c:layout>
                <c:manualLayout>
                  <c:x val="0"/>
                  <c:y val="-2.3357215319684873E-2"/>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370-4A8D-A709-92629C8541AD}"/>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th-TH"/>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'6.1 Result (Cyber Hygiene)'!$O$25:$O$29</c:f>
              <c:strCache>
                <c:ptCount val="5"/>
                <c:pt idx="0">
                  <c:v>Third-Party Management</c:v>
                </c:pt>
                <c:pt idx="1">
                  <c:v>Access Control</c:v>
                </c:pt>
                <c:pt idx="2">
                  <c:v>IT Operations Security</c:v>
                </c:pt>
                <c:pt idx="3">
                  <c:v>IT Incident Management</c:v>
                </c:pt>
                <c:pt idx="4">
                  <c:v>IT Audit</c:v>
                </c:pt>
              </c:strCache>
            </c:strRef>
          </c:cat>
          <c:val>
            <c:numRef>
              <c:f>'6.1 Result (Cyber Hygiene)'!$Q$25:$Q$29</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1-D370-4A8D-A709-92629C8541AD}"/>
            </c:ext>
          </c:extLst>
        </c:ser>
        <c:dLbls>
          <c:dLblPos val="ctr"/>
          <c:showLegendKey val="0"/>
          <c:showVal val="1"/>
          <c:showCatName val="0"/>
          <c:showSerName val="0"/>
          <c:showPercent val="0"/>
          <c:showBubbleSize val="0"/>
        </c:dLbls>
        <c:gapWidth val="150"/>
        <c:overlap val="100"/>
        <c:axId val="1573216655"/>
        <c:axId val="1573202735"/>
      </c:barChart>
      <c:catAx>
        <c:axId val="157321665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th-TH"/>
          </a:p>
        </c:txPr>
        <c:crossAx val="1573202735"/>
        <c:crosses val="autoZero"/>
        <c:auto val="1"/>
        <c:lblAlgn val="ctr"/>
        <c:lblOffset val="100"/>
        <c:noMultiLvlLbl val="0"/>
      </c:catAx>
      <c:valAx>
        <c:axId val="1573202735"/>
        <c:scaling>
          <c:orientation val="minMax"/>
          <c:max val="5"/>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th-TH"/>
          </a:p>
        </c:txPr>
        <c:crossAx val="1573216655"/>
        <c:crosses val="autoZero"/>
        <c:crossBetween val="between"/>
        <c:majorUnit val="1"/>
      </c:valAx>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th-TH"/>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32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3.svg"/><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5" Type="http://schemas.openxmlformats.org/officeDocument/2006/relationships/chart" Target="../charts/chart5.xml"/><Relationship Id="rId4" Type="http://schemas.openxmlformats.org/officeDocument/2006/relationships/chart" Target="../charts/chart4.xml"/></Relationships>
</file>

<file path=xl/drawings/_rels/drawing3.xml.rels><?xml version="1.0" encoding="UTF-8" standalone="yes"?>
<Relationships xmlns="http://schemas.openxmlformats.org/package/2006/relationships"><Relationship Id="rId3" Type="http://schemas.openxmlformats.org/officeDocument/2006/relationships/chart" Target="../charts/chart8.xml"/><Relationship Id="rId2" Type="http://schemas.openxmlformats.org/officeDocument/2006/relationships/chart" Target="../charts/chart7.xml"/><Relationship Id="rId1" Type="http://schemas.openxmlformats.org/officeDocument/2006/relationships/chart" Target="../charts/chart6.xml"/><Relationship Id="rId4" Type="http://schemas.openxmlformats.org/officeDocument/2006/relationships/chart" Target="../charts/chart9.xml"/></Relationships>
</file>

<file path=xl/drawings/drawing1.xml><?xml version="1.0" encoding="utf-8"?>
<xdr:wsDr xmlns:xdr="http://schemas.openxmlformats.org/drawingml/2006/spreadsheetDrawing" xmlns:a="http://schemas.openxmlformats.org/drawingml/2006/main">
  <xdr:twoCellAnchor editAs="oneCell">
    <xdr:from>
      <xdr:col>0</xdr:col>
      <xdr:colOff>143123</xdr:colOff>
      <xdr:row>2</xdr:row>
      <xdr:rowOff>87051</xdr:rowOff>
    </xdr:from>
    <xdr:to>
      <xdr:col>1</xdr:col>
      <xdr:colOff>248</xdr:colOff>
      <xdr:row>2</xdr:row>
      <xdr:rowOff>1011320</xdr:rowOff>
    </xdr:to>
    <xdr:pic>
      <xdr:nvPicPr>
        <xdr:cNvPr id="4" name="Graphic 3" descr="Siren with solid fill">
          <a:extLst>
            <a:ext uri="{FF2B5EF4-FFF2-40B4-BE49-F238E27FC236}">
              <a16:creationId xmlns:a16="http://schemas.microsoft.com/office/drawing/2014/main" id="{50A9BB21-57C5-3B09-ABFA-3625688A95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43123" y="818571"/>
          <a:ext cx="914400" cy="92426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1</xdr:colOff>
      <xdr:row>37</xdr:row>
      <xdr:rowOff>57148</xdr:rowOff>
    </xdr:from>
    <xdr:to>
      <xdr:col>8</xdr:col>
      <xdr:colOff>194235</xdr:colOff>
      <xdr:row>63</xdr:row>
      <xdr:rowOff>97118</xdr:rowOff>
    </xdr:to>
    <xdr:graphicFrame macro="">
      <xdr:nvGraphicFramePr>
        <xdr:cNvPr id="2" name="Chart 5">
          <a:extLst>
            <a:ext uri="{FF2B5EF4-FFF2-40B4-BE49-F238E27FC236}">
              <a16:creationId xmlns:a16="http://schemas.microsoft.com/office/drawing/2014/main" id="{43D13BEA-D96B-4E1A-A049-56C3C9F4276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11</xdr:col>
      <xdr:colOff>900909</xdr:colOff>
      <xdr:row>50</xdr:row>
      <xdr:rowOff>142698</xdr:rowOff>
    </xdr:from>
    <xdr:to>
      <xdr:col>14</xdr:col>
      <xdr:colOff>271681</xdr:colOff>
      <xdr:row>55</xdr:row>
      <xdr:rowOff>124555</xdr:rowOff>
    </xdr:to>
    <xdr:sp macro="" textlink="$AJ$37">
      <xdr:nvSpPr>
        <xdr:cNvPr id="5" name="TextBox 7">
          <a:extLst>
            <a:ext uri="{FF2B5EF4-FFF2-40B4-BE49-F238E27FC236}">
              <a16:creationId xmlns:a16="http://schemas.microsoft.com/office/drawing/2014/main" id="{0C1937C6-3C01-42A7-52C1-9629239980B3}"/>
            </a:ext>
          </a:extLst>
        </xdr:cNvPr>
        <xdr:cNvSpPr txBox="1"/>
      </xdr:nvSpPr>
      <xdr:spPr>
        <a:xfrm>
          <a:off x="10668364" y="8801789"/>
          <a:ext cx="1968499" cy="8015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CBF72CF6-ED3F-4B55-BA07-DFE13B3DF229}" type="TxLink">
            <a:rPr lang="en-US" sz="3000" b="0" i="0" u="none" strike="noStrike">
              <a:solidFill>
                <a:sysClr val="windowText" lastClr="000000"/>
              </a:solidFill>
              <a:latin typeface="Impact" panose="020B0806030902050204" pitchFamily="34" charset="0"/>
              <a:cs typeface="Calibri"/>
            </a:rPr>
            <a:pPr algn="ctr"/>
            <a:t>0%</a:t>
          </a:fld>
          <a:endParaRPr lang="en-US" sz="3000">
            <a:solidFill>
              <a:sysClr val="windowText" lastClr="000000"/>
            </a:solidFill>
            <a:latin typeface="Impact" panose="020B0806030902050204" pitchFamily="34" charset="0"/>
          </a:endParaRPr>
        </a:p>
      </xdr:txBody>
    </xdr:sp>
    <xdr:clientData/>
  </xdr:twoCellAnchor>
  <xdr:twoCellAnchor>
    <xdr:from>
      <xdr:col>0</xdr:col>
      <xdr:colOff>0</xdr:colOff>
      <xdr:row>64</xdr:row>
      <xdr:rowOff>7467</xdr:rowOff>
    </xdr:from>
    <xdr:to>
      <xdr:col>8</xdr:col>
      <xdr:colOff>186764</xdr:colOff>
      <xdr:row>89</xdr:row>
      <xdr:rowOff>52221</xdr:rowOff>
    </xdr:to>
    <xdr:graphicFrame macro="">
      <xdr:nvGraphicFramePr>
        <xdr:cNvPr id="8" name="Chart 11">
          <a:extLst>
            <a:ext uri="{FF2B5EF4-FFF2-40B4-BE49-F238E27FC236}">
              <a16:creationId xmlns:a16="http://schemas.microsoft.com/office/drawing/2014/main" id="{E8285AA4-A62E-4FB4-9A36-3BCF13006B9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8</xdr:col>
      <xdr:colOff>260537</xdr:colOff>
      <xdr:row>64</xdr:row>
      <xdr:rowOff>2616</xdr:rowOff>
    </xdr:from>
    <xdr:to>
      <xdr:col>53</xdr:col>
      <xdr:colOff>365125</xdr:colOff>
      <xdr:row>103</xdr:row>
      <xdr:rowOff>62567</xdr:rowOff>
    </xdr:to>
    <xdr:graphicFrame macro="">
      <xdr:nvGraphicFramePr>
        <xdr:cNvPr id="9" name="Chart 8">
          <a:extLst>
            <a:ext uri="{FF2B5EF4-FFF2-40B4-BE49-F238E27FC236}">
              <a16:creationId xmlns:a16="http://schemas.microsoft.com/office/drawing/2014/main" id="{03C3C594-96CB-4885-9552-8CD1356EB97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10</xdr:col>
      <xdr:colOff>299198</xdr:colOff>
      <xdr:row>76</xdr:row>
      <xdr:rowOff>59575</xdr:rowOff>
    </xdr:from>
    <xdr:to>
      <xdr:col>52</xdr:col>
      <xdr:colOff>1200728</xdr:colOff>
      <xdr:row>76</xdr:row>
      <xdr:rowOff>59575</xdr:rowOff>
    </xdr:to>
    <xdr:cxnSp macro="">
      <xdr:nvCxnSpPr>
        <xdr:cNvPr id="10" name="Straight Connector 9">
          <a:extLst>
            <a:ext uri="{FF2B5EF4-FFF2-40B4-BE49-F238E27FC236}">
              <a16:creationId xmlns:a16="http://schemas.microsoft.com/office/drawing/2014/main" id="{8330AEB0-813B-41B4-8792-1AA365F94CF9}"/>
            </a:ext>
          </a:extLst>
        </xdr:cNvPr>
        <xdr:cNvCxnSpPr/>
      </xdr:nvCxnSpPr>
      <xdr:spPr>
        <a:xfrm>
          <a:off x="9295531" y="12758944"/>
          <a:ext cx="8477987" cy="0"/>
        </a:xfrm>
        <a:prstGeom prst="line">
          <a:avLst/>
        </a:prstGeom>
        <a:ln w="38100">
          <a:solidFill>
            <a:srgbClr val="C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0</xdr:colOff>
      <xdr:row>90</xdr:row>
      <xdr:rowOff>112059</xdr:rowOff>
    </xdr:from>
    <xdr:to>
      <xdr:col>8</xdr:col>
      <xdr:colOff>224117</xdr:colOff>
      <xdr:row>108</xdr:row>
      <xdr:rowOff>71718</xdr:rowOff>
    </xdr:to>
    <xdr:graphicFrame macro="">
      <xdr:nvGraphicFramePr>
        <xdr:cNvPr id="11" name="Chart 10">
          <a:extLst>
            <a:ext uri="{FF2B5EF4-FFF2-40B4-BE49-F238E27FC236}">
              <a16:creationId xmlns:a16="http://schemas.microsoft.com/office/drawing/2014/main" id="{C9B6C299-04F3-46AA-BFBF-671C961C89E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8</xdr:col>
      <xdr:colOff>277091</xdr:colOff>
      <xdr:row>37</xdr:row>
      <xdr:rowOff>69273</xdr:rowOff>
    </xdr:from>
    <xdr:to>
      <xdr:col>18</xdr:col>
      <xdr:colOff>727693</xdr:colOff>
      <xdr:row>63</xdr:row>
      <xdr:rowOff>80019</xdr:rowOff>
    </xdr:to>
    <xdr:graphicFrame macro="">
      <xdr:nvGraphicFramePr>
        <xdr:cNvPr id="20" name="Chart 6">
          <a:extLst>
            <a:ext uri="{FF2B5EF4-FFF2-40B4-BE49-F238E27FC236}">
              <a16:creationId xmlns:a16="http://schemas.microsoft.com/office/drawing/2014/main" id="{5C408F76-6BEA-4A83-81C9-209F9ABB4F1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11</xdr:col>
      <xdr:colOff>867636</xdr:colOff>
      <xdr:row>51</xdr:row>
      <xdr:rowOff>14049</xdr:rowOff>
    </xdr:from>
    <xdr:to>
      <xdr:col>14</xdr:col>
      <xdr:colOff>235109</xdr:colOff>
      <xdr:row>56</xdr:row>
      <xdr:rowOff>1678</xdr:rowOff>
    </xdr:to>
    <xdr:sp macro="" textlink="$S$37">
      <xdr:nvSpPr>
        <xdr:cNvPr id="22" name="TextBox 7">
          <a:extLst>
            <a:ext uri="{FF2B5EF4-FFF2-40B4-BE49-F238E27FC236}">
              <a16:creationId xmlns:a16="http://schemas.microsoft.com/office/drawing/2014/main" id="{3B76FDD2-36C5-E543-3EB0-6992D9CF89FE}"/>
            </a:ext>
          </a:extLst>
        </xdr:cNvPr>
        <xdr:cNvSpPr txBox="1"/>
      </xdr:nvSpPr>
      <xdr:spPr>
        <a:xfrm>
          <a:off x="11026597" y="8695002"/>
          <a:ext cx="2070916" cy="8014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474E7C95-D3F2-4723-B891-2B86E434E6F8}" type="TxLink">
            <a:rPr lang="en-US" sz="3000" b="1" i="0" u="none" strike="noStrike">
              <a:solidFill>
                <a:sysClr val="windowText" lastClr="000000"/>
              </a:solidFill>
              <a:latin typeface="Tahoma"/>
              <a:ea typeface="Tahoma"/>
              <a:cs typeface="Tahoma"/>
            </a:rPr>
            <a:pPr algn="ctr"/>
            <a:t>0%</a:t>
          </a:fld>
          <a:endParaRPr lang="en-US" sz="3000">
            <a:solidFill>
              <a:sysClr val="windowText" lastClr="000000"/>
            </a:solidFill>
            <a:latin typeface="Impact" panose="020B0806030902050204"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177300</xdr:colOff>
      <xdr:row>20</xdr:row>
      <xdr:rowOff>45930</xdr:rowOff>
    </xdr:from>
    <xdr:to>
      <xdr:col>3</xdr:col>
      <xdr:colOff>545232</xdr:colOff>
      <xdr:row>39</xdr:row>
      <xdr:rowOff>135815</xdr:rowOff>
    </xdr:to>
    <xdr:graphicFrame macro="">
      <xdr:nvGraphicFramePr>
        <xdr:cNvPr id="12" name="Chart 11">
          <a:extLst>
            <a:ext uri="{FF2B5EF4-FFF2-40B4-BE49-F238E27FC236}">
              <a16:creationId xmlns:a16="http://schemas.microsoft.com/office/drawing/2014/main" id="{67E4CF89-924B-1215-4799-CCB055536F6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829373</xdr:colOff>
      <xdr:row>20</xdr:row>
      <xdr:rowOff>48274</xdr:rowOff>
    </xdr:from>
    <xdr:to>
      <xdr:col>11</xdr:col>
      <xdr:colOff>0</xdr:colOff>
      <xdr:row>41</xdr:row>
      <xdr:rowOff>9355</xdr:rowOff>
    </xdr:to>
    <xdr:graphicFrame macro="">
      <xdr:nvGraphicFramePr>
        <xdr:cNvPr id="14" name="Chart 13">
          <a:extLst>
            <a:ext uri="{FF2B5EF4-FFF2-40B4-BE49-F238E27FC236}">
              <a16:creationId xmlns:a16="http://schemas.microsoft.com/office/drawing/2014/main" id="{F94227A5-F038-27C0-F712-A624B6960CE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164872</xdr:colOff>
      <xdr:row>40</xdr:row>
      <xdr:rowOff>153179</xdr:rowOff>
    </xdr:from>
    <xdr:to>
      <xdr:col>3</xdr:col>
      <xdr:colOff>523853</xdr:colOff>
      <xdr:row>57</xdr:row>
      <xdr:rowOff>56126</xdr:rowOff>
    </xdr:to>
    <xdr:graphicFrame macro="">
      <xdr:nvGraphicFramePr>
        <xdr:cNvPr id="19" name="Chart 18">
          <a:extLst>
            <a:ext uri="{FF2B5EF4-FFF2-40B4-BE49-F238E27FC236}">
              <a16:creationId xmlns:a16="http://schemas.microsoft.com/office/drawing/2014/main" id="{AB21330B-155C-06CD-DFBD-77351256C15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3</xdr:col>
      <xdr:colOff>841903</xdr:colOff>
      <xdr:row>41</xdr:row>
      <xdr:rowOff>153179</xdr:rowOff>
    </xdr:from>
    <xdr:to>
      <xdr:col>12</xdr:col>
      <xdr:colOff>374178</xdr:colOff>
      <xdr:row>59</xdr:row>
      <xdr:rowOff>9355</xdr:rowOff>
    </xdr:to>
    <xdr:graphicFrame macro="">
      <xdr:nvGraphicFramePr>
        <xdr:cNvPr id="20" name="Chart 19">
          <a:extLst>
            <a:ext uri="{FF2B5EF4-FFF2-40B4-BE49-F238E27FC236}">
              <a16:creationId xmlns:a16="http://schemas.microsoft.com/office/drawing/2014/main" id="{B0812AD1-83E9-AF3B-08E8-41D06B216F2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4</xdr:col>
      <xdr:colOff>392888</xdr:colOff>
      <xdr:row>49</xdr:row>
      <xdr:rowOff>84191</xdr:rowOff>
    </xdr:from>
    <xdr:to>
      <xdr:col>12</xdr:col>
      <xdr:colOff>252570</xdr:colOff>
      <xdr:row>49</xdr:row>
      <xdr:rowOff>84191</xdr:rowOff>
    </xdr:to>
    <xdr:cxnSp macro="">
      <xdr:nvCxnSpPr>
        <xdr:cNvPr id="21" name="Straight Connector 20">
          <a:extLst>
            <a:ext uri="{FF2B5EF4-FFF2-40B4-BE49-F238E27FC236}">
              <a16:creationId xmlns:a16="http://schemas.microsoft.com/office/drawing/2014/main" id="{C42A9462-F753-49A0-A236-95CCB53C55DF}"/>
            </a:ext>
          </a:extLst>
        </xdr:cNvPr>
        <xdr:cNvCxnSpPr/>
      </xdr:nvCxnSpPr>
      <xdr:spPr>
        <a:xfrm>
          <a:off x="5799775" y="8886752"/>
          <a:ext cx="4611756" cy="0"/>
        </a:xfrm>
        <a:prstGeom prst="line">
          <a:avLst/>
        </a:prstGeom>
        <a:ln w="38100">
          <a:solidFill>
            <a:srgbClr val="C0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v>Immunity with solid fill</v>
  </rv>
</rvData>
</file>

<file path=xl/richData/rdrichvaluestructure.xml><?xml version="1.0" encoding="utf-8"?>
<rvStructures xmlns="http://schemas.microsoft.com/office/spreadsheetml/2017/richdata" count="1">
  <s t="_localImage">
    <k n="_rvRel:LocalImageIdentifier" t="i"/>
    <k n="CalcOrigin" t="i"/>
    <k n="Text" t="s"/>
  </s>
</rvStructures>
</file>

<file path=xl/richData/richValueRel.xml><?xml version="1.0" encoding="utf-8"?>
<richValueRels xmlns="http://schemas.microsoft.com/office/spreadsheetml/2022/richvaluerel" xmlns:r="http://schemas.openxmlformats.org/officeDocument/2006/relationships">
  <rel r:id="rId1"/>
</richValueRel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C9883C08-0AB7-48B9-AA6D-0DD7084CB191}" name="SystemList2" displayName="SystemList2" ref="A1:C38" totalsRowShown="0" headerRowDxfId="34" dataDxfId="33" tableBorderDxfId="32">
  <autoFilter ref="A1:C38" xr:uid="{C9883C08-0AB7-48B9-AA6D-0DD7084CB191}"/>
  <tableColumns count="3">
    <tableColumn id="1" xr3:uid="{38132862-F1C3-4A95-8D09-F5F702A4E406}" name="ประเภทผู้ประกอบธุรกิจ" dataDxfId="31"/>
    <tableColumn id="2" xr3:uid="{272AFC4F-F7EE-4E0A-B228-C1941CCBA97B}" name="ระบบ IT ที่มีนัยสำคัญที่ควรอยู่ในขอบเขตการตรวจสอบ" dataDxfId="30"/>
    <tableColumn id="3" xr3:uid="{12FC2E8F-4487-4E0A-A92B-6931F41994A4}" name="คำอธิบาย" dataDxfId="29"/>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0D68A3-808F-4101-8A35-C11EA3DD1C3F}">
  <sheetPr codeName="Sheet1">
    <tabColor theme="9" tint="0.39997558519241921"/>
  </sheetPr>
  <dimension ref="A1:P51"/>
  <sheetViews>
    <sheetView topLeftCell="B7" zoomScale="85" zoomScaleNormal="85" zoomScalePageLayoutView="89" workbookViewId="0">
      <selection activeCell="F26" sqref="F26:J26"/>
    </sheetView>
  </sheetViews>
  <sheetFormatPr defaultColWidth="9.19921875" defaultRowHeight="12.55" x14ac:dyDescent="0.25"/>
  <cols>
    <col min="1" max="1" width="13.8984375" style="65" customWidth="1"/>
    <col min="2" max="3" width="17.19921875" style="65" customWidth="1"/>
    <col min="4" max="4" width="13" style="65" customWidth="1"/>
    <col min="5" max="5" width="17.19921875" style="65" customWidth="1"/>
    <col min="6" max="6" width="29" style="65" customWidth="1"/>
    <col min="7" max="7" width="18.69921875" style="65" customWidth="1"/>
    <col min="8" max="8" width="24.19921875" style="65" customWidth="1"/>
    <col min="9" max="9" width="26.09765625" style="65" customWidth="1"/>
    <col min="10" max="10" width="30.69921875" style="65" customWidth="1"/>
    <col min="11" max="11" width="24.69921875" style="65" customWidth="1"/>
    <col min="12" max="12" width="27.09765625" style="65" customWidth="1"/>
    <col min="13" max="13" width="20.69921875" style="65" customWidth="1"/>
    <col min="14" max="14" width="9.19921875" style="65" hidden="1" customWidth="1"/>
    <col min="15" max="16384" width="9.19921875" style="65"/>
  </cols>
  <sheetData>
    <row r="1" spans="1:12" ht="18.2" thickBot="1" x14ac:dyDescent="0.3">
      <c r="J1" s="137" t="s">
        <v>0</v>
      </c>
      <c r="K1" s="138" t="s">
        <v>2107</v>
      </c>
    </row>
    <row r="2" spans="1:12" s="68" customFormat="1" ht="36.950000000000003" customHeight="1" thickBot="1" x14ac:dyDescent="0.3">
      <c r="B2" s="698" t="s">
        <v>1</v>
      </c>
      <c r="C2" s="698"/>
      <c r="D2" s="698"/>
      <c r="E2" s="698"/>
      <c r="F2" s="698"/>
      <c r="G2" s="698"/>
      <c r="H2" s="698"/>
      <c r="I2" s="698"/>
      <c r="J2" s="679" t="s">
        <v>2</v>
      </c>
      <c r="K2" s="680"/>
      <c r="L2" s="129"/>
    </row>
    <row r="3" spans="1:12" s="68" customFormat="1" ht="91.9" customHeight="1" x14ac:dyDescent="0.25">
      <c r="B3" s="678" t="s">
        <v>3</v>
      </c>
      <c r="C3" s="678"/>
      <c r="D3" s="678"/>
      <c r="E3" s="678"/>
      <c r="F3" s="678"/>
      <c r="G3" s="678"/>
      <c r="H3" s="678"/>
      <c r="I3" s="678"/>
      <c r="J3" s="678"/>
      <c r="K3" s="129"/>
      <c r="L3" s="129"/>
    </row>
    <row r="4" spans="1:12" ht="22.7" customHeight="1" x14ac:dyDescent="0.25">
      <c r="B4" s="69"/>
      <c r="C4" s="69"/>
      <c r="D4" s="69"/>
      <c r="E4" s="69"/>
      <c r="F4" s="69"/>
      <c r="G4" s="69"/>
      <c r="H4" s="69"/>
    </row>
    <row r="5" spans="1:12" ht="29.45" customHeight="1" x14ac:dyDescent="0.25">
      <c r="A5" s="681" t="s">
        <v>4</v>
      </c>
      <c r="B5" s="681"/>
      <c r="C5" s="689"/>
      <c r="D5" s="689"/>
      <c r="E5" s="682" t="s">
        <v>5</v>
      </c>
      <c r="F5" s="682"/>
      <c r="G5" s="682"/>
      <c r="H5" s="682"/>
      <c r="I5" s="682"/>
      <c r="J5" s="682"/>
      <c r="K5" s="71"/>
      <c r="L5" s="71"/>
    </row>
    <row r="6" spans="1:12" ht="14.4" x14ac:dyDescent="0.25">
      <c r="A6" s="70"/>
      <c r="B6" s="70"/>
      <c r="C6" s="72"/>
      <c r="D6" s="72"/>
      <c r="E6" s="73"/>
      <c r="F6" s="73"/>
      <c r="G6" s="73"/>
      <c r="H6" s="73"/>
      <c r="I6" s="73"/>
      <c r="J6" s="73"/>
      <c r="K6" s="71"/>
      <c r="L6" s="71"/>
    </row>
    <row r="7" spans="1:12" ht="14.1" customHeight="1" x14ac:dyDescent="0.2">
      <c r="A7" s="686" t="s">
        <v>6</v>
      </c>
      <c r="B7" s="687"/>
      <c r="C7" s="684"/>
      <c r="D7" s="685"/>
      <c r="E7" s="682" t="s">
        <v>7</v>
      </c>
      <c r="F7" s="688"/>
      <c r="G7" s="688"/>
      <c r="H7" s="688"/>
      <c r="I7" s="688"/>
      <c r="J7" s="688"/>
      <c r="K7" s="71"/>
      <c r="L7" s="71"/>
    </row>
    <row r="8" spans="1:12" x14ac:dyDescent="0.25">
      <c r="A8" s="74"/>
      <c r="B8" s="74"/>
      <c r="C8" s="74"/>
      <c r="D8" s="74"/>
      <c r="F8" s="69"/>
      <c r="G8" s="69"/>
      <c r="H8" s="69"/>
    </row>
    <row r="9" spans="1:12" x14ac:dyDescent="0.25">
      <c r="A9" s="699" t="s">
        <v>8</v>
      </c>
      <c r="B9" s="700"/>
      <c r="C9" s="690"/>
      <c r="D9" s="691"/>
      <c r="E9" s="75" t="s">
        <v>9</v>
      </c>
      <c r="F9" s="66"/>
      <c r="G9" s="76" t="s">
        <v>10</v>
      </c>
      <c r="H9" s="66"/>
    </row>
    <row r="10" spans="1:12" x14ac:dyDescent="0.25">
      <c r="B10" s="77"/>
      <c r="C10" s="77"/>
      <c r="D10" s="77"/>
      <c r="E10" s="77"/>
      <c r="F10" s="77"/>
      <c r="G10" s="73"/>
      <c r="H10" s="73"/>
    </row>
    <row r="11" spans="1:12" s="78" customFormat="1" ht="15.05" x14ac:dyDescent="0.25">
      <c r="A11" s="132" t="s">
        <v>11</v>
      </c>
      <c r="B11" s="133"/>
      <c r="C11" s="133"/>
      <c r="D11" s="133"/>
      <c r="E11" s="133"/>
      <c r="F11" s="133"/>
      <c r="G11" s="133"/>
      <c r="H11" s="133"/>
      <c r="I11" s="133"/>
      <c r="J11" s="133"/>
    </row>
    <row r="12" spans="1:12" ht="13.15" thickBot="1" x14ac:dyDescent="0.3">
      <c r="G12" s="73"/>
      <c r="H12" s="73"/>
      <c r="I12" s="77"/>
    </row>
    <row r="13" spans="1:12" x14ac:dyDescent="0.25">
      <c r="A13" s="79" t="s">
        <v>12</v>
      </c>
      <c r="B13" s="80"/>
      <c r="C13" s="80"/>
      <c r="D13" s="80"/>
      <c r="E13" s="80"/>
      <c r="F13" s="81"/>
      <c r="G13" s="73"/>
      <c r="H13" s="79" t="s">
        <v>13</v>
      </c>
      <c r="I13" s="80"/>
      <c r="J13" s="81"/>
    </row>
    <row r="14" spans="1:12" ht="16.899999999999999" customHeight="1" x14ac:dyDescent="0.25">
      <c r="A14" s="692" t="s">
        <v>14</v>
      </c>
      <c r="B14" s="693"/>
      <c r="C14" s="693"/>
      <c r="D14" s="693"/>
      <c r="E14" s="693"/>
      <c r="F14" s="694"/>
      <c r="G14" s="73"/>
      <c r="H14" s="82" t="s">
        <v>15</v>
      </c>
      <c r="I14" s="83"/>
      <c r="J14" s="84"/>
    </row>
    <row r="15" spans="1:12" x14ac:dyDescent="0.25">
      <c r="A15" s="85" t="s">
        <v>16</v>
      </c>
      <c r="B15" s="86"/>
      <c r="C15" s="86"/>
      <c r="D15" s="86"/>
      <c r="E15" s="87"/>
      <c r="F15" s="88"/>
      <c r="G15" s="73"/>
      <c r="H15" s="89"/>
      <c r="I15" s="90"/>
      <c r="J15" s="91"/>
    </row>
    <row r="16" spans="1:12" x14ac:dyDescent="0.25">
      <c r="A16" s="92" t="s">
        <v>17</v>
      </c>
      <c r="B16" s="93"/>
      <c r="C16" s="695"/>
      <c r="D16" s="695"/>
      <c r="E16" s="682" t="s">
        <v>18</v>
      </c>
      <c r="F16" s="696"/>
      <c r="G16" s="73"/>
      <c r="H16" s="94" t="s">
        <v>19</v>
      </c>
      <c r="I16" s="67"/>
      <c r="J16" s="96" t="s">
        <v>20</v>
      </c>
    </row>
    <row r="17" spans="1:16" x14ac:dyDescent="0.25">
      <c r="A17" s="97"/>
      <c r="E17" s="73"/>
      <c r="F17" s="98"/>
      <c r="G17" s="73"/>
      <c r="H17" s="94"/>
      <c r="J17" s="91"/>
    </row>
    <row r="18" spans="1:16" ht="28.2" customHeight="1" x14ac:dyDescent="0.25">
      <c r="A18" s="707" t="s">
        <v>21</v>
      </c>
      <c r="B18" s="707"/>
      <c r="C18" s="695"/>
      <c r="D18" s="695"/>
      <c r="E18" s="705"/>
      <c r="F18" s="99"/>
      <c r="H18" s="100" t="s">
        <v>22</v>
      </c>
      <c r="I18" s="67"/>
      <c r="J18" s="96" t="s">
        <v>23</v>
      </c>
      <c r="N18" s="95" t="str">
        <f>IF(AND(I16="", I18=""), "", MAX(I16, I18))</f>
        <v/>
      </c>
    </row>
    <row r="19" spans="1:16" ht="16.3" customHeight="1" thickBot="1" x14ac:dyDescent="0.3">
      <c r="A19" s="101"/>
      <c r="B19" s="102"/>
      <c r="C19" s="102"/>
      <c r="D19" s="102"/>
      <c r="E19" s="103"/>
      <c r="F19" s="104"/>
      <c r="G19" s="76"/>
      <c r="H19" s="130" t="s">
        <v>24</v>
      </c>
      <c r="I19" s="105"/>
      <c r="J19" s="106"/>
    </row>
    <row r="21" spans="1:16" ht="13.15" thickBot="1" x14ac:dyDescent="0.3">
      <c r="H21" s="65" t="str">
        <f>IF(E23&gt;N18,"กรณีวันเสนอต่อคณะกรรมการของบริษัท หรือ Audit Committee เกิดขึ้นก่อนวันสุดท้ายของการตรวจสอบ โปรดระบุสาเหตุ", "")</f>
        <v/>
      </c>
    </row>
    <row r="22" spans="1:16" ht="13.15" customHeight="1" x14ac:dyDescent="0.25">
      <c r="A22" s="107" t="s">
        <v>25</v>
      </c>
      <c r="B22" s="108"/>
      <c r="C22" s="108"/>
      <c r="D22" s="108"/>
      <c r="E22" s="108"/>
      <c r="F22" s="109"/>
      <c r="H22" s="697"/>
      <c r="I22" s="697"/>
      <c r="J22" s="697"/>
    </row>
    <row r="23" spans="1:16" x14ac:dyDescent="0.25">
      <c r="A23" s="110"/>
      <c r="B23" s="76" t="s">
        <v>26</v>
      </c>
      <c r="C23" s="67"/>
      <c r="D23" s="111" t="s">
        <v>27</v>
      </c>
      <c r="E23" s="67"/>
      <c r="F23" s="112" t="s">
        <v>28</v>
      </c>
      <c r="H23" s="697"/>
      <c r="I23" s="697"/>
      <c r="J23" s="697"/>
    </row>
    <row r="24" spans="1:16" ht="13.15" thickBot="1" x14ac:dyDescent="0.3">
      <c r="A24" s="113"/>
      <c r="B24" s="102"/>
      <c r="C24" s="134" t="s">
        <v>29</v>
      </c>
      <c r="D24" s="102"/>
      <c r="E24" s="102"/>
      <c r="F24" s="114"/>
      <c r="H24" s="697"/>
      <c r="I24" s="697"/>
      <c r="J24" s="697"/>
    </row>
    <row r="25" spans="1:16" ht="13.15" thickBot="1" x14ac:dyDescent="0.3"/>
    <row r="26" spans="1:16" ht="131.5" customHeight="1" thickBot="1" x14ac:dyDescent="0.3">
      <c r="A26" s="715" t="s">
        <v>30</v>
      </c>
      <c r="B26" s="716"/>
      <c r="C26" s="717" t="s">
        <v>1753</v>
      </c>
      <c r="D26" s="718"/>
      <c r="E26" s="719"/>
      <c r="F26" s="713" t="s">
        <v>2108</v>
      </c>
      <c r="G26" s="714"/>
      <c r="H26" s="714"/>
      <c r="I26" s="714"/>
      <c r="J26" s="714"/>
      <c r="K26" s="131"/>
      <c r="L26" s="131"/>
    </row>
    <row r="27" spans="1:16" x14ac:dyDescent="0.25">
      <c r="C27" s="565"/>
      <c r="J27" s="115"/>
    </row>
    <row r="28" spans="1:16" x14ac:dyDescent="0.25">
      <c r="A28" s="706" t="s">
        <v>32</v>
      </c>
      <c r="B28" s="706"/>
      <c r="C28" s="706"/>
      <c r="D28" s="706"/>
      <c r="E28" s="706"/>
      <c r="F28" s="706"/>
      <c r="G28" s="706"/>
      <c r="H28" s="706"/>
      <c r="I28" s="706"/>
      <c r="J28" s="706"/>
      <c r="K28" s="706"/>
      <c r="L28" s="706"/>
    </row>
    <row r="29" spans="1:16" ht="37.6" x14ac:dyDescent="0.25">
      <c r="A29" s="116" t="s">
        <v>33</v>
      </c>
      <c r="B29" s="708" t="s">
        <v>34</v>
      </c>
      <c r="C29" s="709"/>
      <c r="D29" s="711" t="s">
        <v>35</v>
      </c>
      <c r="E29" s="712"/>
      <c r="F29" s="117" t="s">
        <v>36</v>
      </c>
      <c r="G29" s="117" t="s">
        <v>37</v>
      </c>
      <c r="H29" s="117" t="s">
        <v>38</v>
      </c>
      <c r="I29" s="117" t="s">
        <v>39</v>
      </c>
      <c r="J29" s="118" t="s">
        <v>40</v>
      </c>
      <c r="K29" s="116" t="s">
        <v>10</v>
      </c>
      <c r="L29" s="116" t="s">
        <v>9</v>
      </c>
    </row>
    <row r="30" spans="1:16" x14ac:dyDescent="0.25">
      <c r="A30" s="119" t="s">
        <v>41</v>
      </c>
      <c r="B30" s="710" t="s">
        <v>42</v>
      </c>
      <c r="C30" s="710"/>
      <c r="D30" s="683" t="s">
        <v>43</v>
      </c>
      <c r="E30" s="683"/>
      <c r="F30" s="119">
        <v>12345678</v>
      </c>
      <c r="G30" s="120" t="s">
        <v>44</v>
      </c>
      <c r="H30" s="121" t="s">
        <v>44</v>
      </c>
      <c r="I30" s="121" t="s">
        <v>44</v>
      </c>
      <c r="J30" s="119" t="s">
        <v>44</v>
      </c>
      <c r="K30" s="122" t="s">
        <v>45</v>
      </c>
      <c r="L30" s="119" t="s">
        <v>46</v>
      </c>
      <c r="N30" s="123"/>
      <c r="O30" s="123"/>
      <c r="P30" s="123"/>
    </row>
    <row r="31" spans="1:16" x14ac:dyDescent="0.25">
      <c r="A31" s="119" t="s">
        <v>41</v>
      </c>
      <c r="B31" s="710" t="s">
        <v>47</v>
      </c>
      <c r="C31" s="710"/>
      <c r="D31" s="683" t="s">
        <v>48</v>
      </c>
      <c r="E31" s="683"/>
      <c r="F31" s="119" t="s">
        <v>44</v>
      </c>
      <c r="G31" s="121" t="s">
        <v>49</v>
      </c>
      <c r="H31" s="121" t="s">
        <v>44</v>
      </c>
      <c r="I31" s="121" t="s">
        <v>44</v>
      </c>
      <c r="J31" s="121" t="s">
        <v>44</v>
      </c>
      <c r="K31" s="122" t="s">
        <v>50</v>
      </c>
      <c r="L31" s="119" t="s">
        <v>51</v>
      </c>
      <c r="N31" s="123"/>
      <c r="O31" s="123"/>
      <c r="P31" s="123"/>
    </row>
    <row r="32" spans="1:16" x14ac:dyDescent="0.25">
      <c r="A32" s="124">
        <v>1</v>
      </c>
      <c r="B32" s="701"/>
      <c r="C32" s="701"/>
      <c r="D32" s="703"/>
      <c r="E32" s="704"/>
      <c r="F32" s="128"/>
      <c r="G32" s="128"/>
      <c r="H32" s="128"/>
      <c r="I32" s="128"/>
      <c r="J32" s="127"/>
      <c r="K32" s="127"/>
      <c r="L32" s="127"/>
      <c r="N32" s="125"/>
      <c r="O32" s="125"/>
      <c r="P32" s="125"/>
    </row>
    <row r="33" spans="1:16" x14ac:dyDescent="0.25">
      <c r="A33" s="126">
        <v>2</v>
      </c>
      <c r="B33" s="701"/>
      <c r="C33" s="701"/>
      <c r="D33" s="702"/>
      <c r="E33" s="702"/>
      <c r="F33" s="128"/>
      <c r="G33" s="128"/>
      <c r="H33" s="128"/>
      <c r="I33" s="128"/>
      <c r="J33" s="127"/>
      <c r="K33" s="127"/>
      <c r="L33" s="127"/>
    </row>
    <row r="34" spans="1:16" x14ac:dyDescent="0.25">
      <c r="A34" s="126">
        <v>3</v>
      </c>
      <c r="B34" s="701"/>
      <c r="C34" s="701"/>
      <c r="D34" s="702"/>
      <c r="E34" s="702"/>
      <c r="F34" s="128"/>
      <c r="G34" s="128"/>
      <c r="H34" s="128"/>
      <c r="I34" s="128"/>
      <c r="J34" s="127"/>
      <c r="K34" s="127"/>
      <c r="L34" s="127"/>
      <c r="N34" s="125"/>
      <c r="O34" s="125"/>
      <c r="P34" s="125"/>
    </row>
    <row r="35" spans="1:16" x14ac:dyDescent="0.25">
      <c r="A35" s="126">
        <v>4</v>
      </c>
      <c r="B35" s="701"/>
      <c r="C35" s="701"/>
      <c r="D35" s="702"/>
      <c r="E35" s="702"/>
      <c r="F35" s="128"/>
      <c r="G35" s="128"/>
      <c r="H35" s="128"/>
      <c r="I35" s="128"/>
      <c r="J35" s="127"/>
      <c r="K35" s="127"/>
      <c r="L35" s="127"/>
      <c r="N35" s="125"/>
      <c r="O35" s="125"/>
      <c r="P35" s="125"/>
    </row>
    <row r="36" spans="1:16" x14ac:dyDescent="0.25">
      <c r="A36" s="126">
        <v>5</v>
      </c>
      <c r="B36" s="701"/>
      <c r="C36" s="701"/>
      <c r="D36" s="702"/>
      <c r="E36" s="702"/>
      <c r="F36" s="128"/>
      <c r="G36" s="128"/>
      <c r="H36" s="128"/>
      <c r="I36" s="128"/>
      <c r="J36" s="127"/>
      <c r="K36" s="127"/>
      <c r="L36" s="127"/>
      <c r="N36" s="125"/>
      <c r="O36" s="125"/>
      <c r="P36" s="125"/>
    </row>
    <row r="37" spans="1:16" x14ac:dyDescent="0.25">
      <c r="A37" s="126">
        <v>6</v>
      </c>
      <c r="B37" s="701"/>
      <c r="C37" s="701"/>
      <c r="D37" s="702"/>
      <c r="E37" s="702"/>
      <c r="F37" s="128"/>
      <c r="G37" s="128"/>
      <c r="H37" s="128"/>
      <c r="I37" s="128"/>
      <c r="J37" s="127"/>
      <c r="K37" s="127"/>
      <c r="L37" s="127"/>
    </row>
    <row r="38" spans="1:16" x14ac:dyDescent="0.25">
      <c r="A38" s="126">
        <v>7</v>
      </c>
      <c r="B38" s="701"/>
      <c r="C38" s="701"/>
      <c r="D38" s="702"/>
      <c r="E38" s="702"/>
      <c r="F38" s="128"/>
      <c r="G38" s="128"/>
      <c r="H38" s="128"/>
      <c r="I38" s="128"/>
      <c r="J38" s="127"/>
      <c r="K38" s="127"/>
      <c r="L38" s="127"/>
    </row>
    <row r="39" spans="1:16" x14ac:dyDescent="0.25">
      <c r="A39" s="126">
        <v>8</v>
      </c>
      <c r="B39" s="701"/>
      <c r="C39" s="701"/>
      <c r="D39" s="702"/>
      <c r="E39" s="702"/>
      <c r="F39" s="128"/>
      <c r="G39" s="128"/>
      <c r="H39" s="128"/>
      <c r="I39" s="128"/>
      <c r="J39" s="127"/>
      <c r="K39" s="127"/>
      <c r="L39" s="127"/>
    </row>
    <row r="40" spans="1:16" x14ac:dyDescent="0.25">
      <c r="A40" s="126">
        <v>9</v>
      </c>
      <c r="B40" s="701"/>
      <c r="C40" s="701"/>
      <c r="D40" s="702"/>
      <c r="E40" s="702"/>
      <c r="F40" s="128"/>
      <c r="G40" s="128"/>
      <c r="H40" s="128"/>
      <c r="I40" s="128"/>
      <c r="J40" s="127"/>
      <c r="K40" s="127"/>
      <c r="L40" s="127"/>
    </row>
    <row r="41" spans="1:16" x14ac:dyDescent="0.25">
      <c r="A41" s="126">
        <v>10</v>
      </c>
      <c r="B41" s="701"/>
      <c r="C41" s="701"/>
      <c r="D41" s="702"/>
      <c r="E41" s="702"/>
      <c r="F41" s="128"/>
      <c r="G41" s="128"/>
      <c r="H41" s="128"/>
      <c r="I41" s="128"/>
      <c r="J41" s="127"/>
      <c r="K41" s="127"/>
      <c r="L41" s="127"/>
    </row>
    <row r="42" spans="1:16" x14ac:dyDescent="0.25">
      <c r="A42" s="126">
        <v>11</v>
      </c>
      <c r="B42" s="701"/>
      <c r="C42" s="701"/>
      <c r="D42" s="702"/>
      <c r="E42" s="702"/>
      <c r="F42" s="128"/>
      <c r="G42" s="128"/>
      <c r="H42" s="128"/>
      <c r="I42" s="128"/>
      <c r="J42" s="127"/>
      <c r="K42" s="127"/>
      <c r="L42" s="127"/>
    </row>
    <row r="43" spans="1:16" x14ac:dyDescent="0.25">
      <c r="A43" s="126">
        <v>12</v>
      </c>
      <c r="B43" s="701"/>
      <c r="C43" s="701"/>
      <c r="D43" s="702"/>
      <c r="E43" s="702"/>
      <c r="F43" s="128"/>
      <c r="G43" s="128"/>
      <c r="H43" s="128"/>
      <c r="I43" s="128"/>
      <c r="J43" s="127"/>
      <c r="K43" s="127"/>
      <c r="L43" s="127"/>
    </row>
    <row r="44" spans="1:16" x14ac:dyDescent="0.25">
      <c r="A44" s="126">
        <v>13</v>
      </c>
      <c r="B44" s="701"/>
      <c r="C44" s="701"/>
      <c r="D44" s="702"/>
      <c r="E44" s="702"/>
      <c r="F44" s="128"/>
      <c r="G44" s="128"/>
      <c r="H44" s="128"/>
      <c r="I44" s="128"/>
      <c r="J44" s="127"/>
      <c r="K44" s="127"/>
      <c r="L44" s="127"/>
    </row>
    <row r="45" spans="1:16" x14ac:dyDescent="0.25">
      <c r="A45" s="126">
        <v>14</v>
      </c>
      <c r="B45" s="701"/>
      <c r="C45" s="701"/>
      <c r="D45" s="702"/>
      <c r="E45" s="702"/>
      <c r="F45" s="128"/>
      <c r="G45" s="128"/>
      <c r="H45" s="128"/>
      <c r="I45" s="128"/>
      <c r="J45" s="127"/>
      <c r="K45" s="127"/>
      <c r="L45" s="127"/>
    </row>
    <row r="46" spans="1:16" x14ac:dyDescent="0.25">
      <c r="A46" s="126">
        <v>15</v>
      </c>
      <c r="B46" s="701"/>
      <c r="C46" s="701"/>
      <c r="D46" s="702"/>
      <c r="E46" s="702"/>
      <c r="F46" s="128"/>
      <c r="G46" s="128"/>
      <c r="H46" s="128"/>
      <c r="I46" s="128"/>
      <c r="J46" s="127"/>
      <c r="K46" s="127"/>
      <c r="L46" s="127"/>
    </row>
    <row r="47" spans="1:16" x14ac:dyDescent="0.25">
      <c r="A47" s="126">
        <v>16</v>
      </c>
      <c r="B47" s="701"/>
      <c r="C47" s="701"/>
      <c r="D47" s="702"/>
      <c r="E47" s="702"/>
      <c r="F47" s="128"/>
      <c r="G47" s="128"/>
      <c r="H47" s="128"/>
      <c r="I47" s="128"/>
      <c r="J47" s="127"/>
      <c r="K47" s="127"/>
      <c r="L47" s="127"/>
    </row>
    <row r="48" spans="1:16" x14ac:dyDescent="0.25">
      <c r="A48" s="126">
        <v>17</v>
      </c>
      <c r="B48" s="701"/>
      <c r="C48" s="701"/>
      <c r="D48" s="702"/>
      <c r="E48" s="702"/>
      <c r="F48" s="128"/>
      <c r="G48" s="128"/>
      <c r="H48" s="128"/>
      <c r="I48" s="128"/>
      <c r="J48" s="127"/>
      <c r="K48" s="127"/>
      <c r="L48" s="127"/>
    </row>
    <row r="49" spans="1:12" x14ac:dyDescent="0.25">
      <c r="A49" s="126">
        <v>18</v>
      </c>
      <c r="B49" s="701"/>
      <c r="C49" s="701"/>
      <c r="D49" s="702"/>
      <c r="E49" s="702"/>
      <c r="F49" s="128"/>
      <c r="G49" s="128"/>
      <c r="H49" s="128"/>
      <c r="I49" s="128"/>
      <c r="J49" s="127"/>
      <c r="K49" s="127"/>
      <c r="L49" s="127"/>
    </row>
    <row r="50" spans="1:12" x14ac:dyDescent="0.25">
      <c r="A50" s="126">
        <v>19</v>
      </c>
      <c r="B50" s="701"/>
      <c r="C50" s="701"/>
      <c r="D50" s="702"/>
      <c r="E50" s="702"/>
      <c r="F50" s="128"/>
      <c r="G50" s="128"/>
      <c r="H50" s="128"/>
      <c r="I50" s="128"/>
      <c r="J50" s="127"/>
      <c r="K50" s="127"/>
      <c r="L50" s="127"/>
    </row>
    <row r="51" spans="1:12" x14ac:dyDescent="0.25">
      <c r="A51" s="126">
        <v>20</v>
      </c>
      <c r="B51" s="701"/>
      <c r="C51" s="701"/>
      <c r="D51" s="702"/>
      <c r="E51" s="702"/>
      <c r="F51" s="128"/>
      <c r="G51" s="128"/>
      <c r="H51" s="128"/>
      <c r="I51" s="128"/>
      <c r="J51" s="127"/>
      <c r="K51" s="127"/>
      <c r="L51" s="127"/>
    </row>
  </sheetData>
  <sheetProtection formatColumns="0" formatRows="0" selectLockedCells="1"/>
  <mergeCells count="67">
    <mergeCell ref="A26:B26"/>
    <mergeCell ref="C26:E26"/>
    <mergeCell ref="B47:C47"/>
    <mergeCell ref="D47:E47"/>
    <mergeCell ref="D40:E40"/>
    <mergeCell ref="B40:C40"/>
    <mergeCell ref="D39:E39"/>
    <mergeCell ref="B39:C39"/>
    <mergeCell ref="B34:C34"/>
    <mergeCell ref="D33:E33"/>
    <mergeCell ref="B31:C31"/>
    <mergeCell ref="D35:E35"/>
    <mergeCell ref="B33:C33"/>
    <mergeCell ref="C18:E18"/>
    <mergeCell ref="A28:L28"/>
    <mergeCell ref="D37:E37"/>
    <mergeCell ref="D38:E38"/>
    <mergeCell ref="A18:B18"/>
    <mergeCell ref="B29:C29"/>
    <mergeCell ref="B30:C30"/>
    <mergeCell ref="D34:E34"/>
    <mergeCell ref="B38:C38"/>
    <mergeCell ref="B36:C36"/>
    <mergeCell ref="B37:C37"/>
    <mergeCell ref="D31:E31"/>
    <mergeCell ref="B32:C32"/>
    <mergeCell ref="D29:E29"/>
    <mergeCell ref="B35:C35"/>
    <mergeCell ref="F26:J26"/>
    <mergeCell ref="B48:C48"/>
    <mergeCell ref="D32:E32"/>
    <mergeCell ref="B43:C43"/>
    <mergeCell ref="B41:C41"/>
    <mergeCell ref="B42:C42"/>
    <mergeCell ref="B45:C45"/>
    <mergeCell ref="B44:C44"/>
    <mergeCell ref="D48:E48"/>
    <mergeCell ref="B46:C46"/>
    <mergeCell ref="D46:E46"/>
    <mergeCell ref="D41:E41"/>
    <mergeCell ref="D42:E42"/>
    <mergeCell ref="D43:E43"/>
    <mergeCell ref="D44:E44"/>
    <mergeCell ref="D45:E45"/>
    <mergeCell ref="D36:E36"/>
    <mergeCell ref="B51:C51"/>
    <mergeCell ref="D51:E51"/>
    <mergeCell ref="B49:C49"/>
    <mergeCell ref="D49:E49"/>
    <mergeCell ref="B50:C50"/>
    <mergeCell ref="D50:E50"/>
    <mergeCell ref="B3:J3"/>
    <mergeCell ref="J2:K2"/>
    <mergeCell ref="A5:B5"/>
    <mergeCell ref="E5:J5"/>
    <mergeCell ref="D30:E30"/>
    <mergeCell ref="C7:D7"/>
    <mergeCell ref="A7:B7"/>
    <mergeCell ref="E7:J7"/>
    <mergeCell ref="C5:D5"/>
    <mergeCell ref="C9:D9"/>
    <mergeCell ref="A14:F14"/>
    <mergeCell ref="C16:D16"/>
    <mergeCell ref="E16:F16"/>
    <mergeCell ref="H22:J24"/>
    <mergeCell ref="B2:I2"/>
    <mergeCell ref="A9:B9"/>
  </mergeCells>
  <phoneticPr fontId="3" type="noConversion"/>
  <conditionalFormatting sqref="H22:J24">
    <cfRule type="expression" dxfId="28" priority="1">
      <formula>$H$21&lt;&gt;""</formula>
    </cfRule>
  </conditionalFormatting>
  <dataValidations count="5">
    <dataValidation type="custom" allowBlank="1" showInputMessage="1" showErrorMessage="1" sqref="C7:D7" xr:uid="{9612205D-EFEC-4FF5-837F-76EDE9D3DF65}">
      <formula1>AND(ISNUMBER(C7),LEN(C7)&gt;=12,LEN(C7)&lt;=13)</formula1>
    </dataValidation>
    <dataValidation type="date" allowBlank="1" showInputMessage="1" showErrorMessage="1" error="กรุณากรอกข้อมูลในรูปแบบ วัน/เดือน/ปี ค.ศ._x000a_หากยังมี error โปรดตรวจสอบการตั้งค่า format วันที่บนเครื่องของท่าน" sqref="I18" xr:uid="{3B9462ED-D529-45A1-AACF-D4142BF6FCB3}">
      <formula1>45658</formula1>
      <formula2>46388</formula2>
    </dataValidation>
    <dataValidation type="date" showInputMessage="1" showErrorMessage="1" errorTitle="กรุณาตรวจสอบ" error="กรุณากรอกข้อมูลในรูปแบบ วัน/เดือน/ปี ค.ศ._x000a_หากยังมี error โปรดตรวจสอบการตั้งค่า format วันที่บนเครื่องของท่าน" sqref="C23" xr:uid="{7ADE8D73-317C-40CC-A1E3-D36E390593CE}">
      <formula1>45658</formula1>
      <formula2>46113</formula2>
    </dataValidation>
    <dataValidation type="custom" showInputMessage="1" showErrorMessage="1" errorTitle="กรุณาตรวจสอบ" error="(1) กรุณากรอกข้อมูลในรูปแบบ วัน/เดือน/ปี ค.ศ._x000a_หากยังมี error โปรดตรวจสอบการตั้งค่า format วันที่บนเครื่องของท่าน_x000a_(2) หากยังมี error โปรดตรวจสอบว่าวันที่ดำเนินการตรวจสอบวันสุดท้าย เป็นหลังวันที่ดำเนินการตรวจสอบวันแรก" sqref="E23" xr:uid="{648B6C7C-D832-430F-818D-451BA7637F78}">
      <formula1>AND(ISNUMBER(E23), E23&gt;=DATE(2025,1,1), E23&lt;=DATE(2026,4,1), E23&gt;=C23)</formula1>
    </dataValidation>
    <dataValidation type="date" allowBlank="1" showInputMessage="1" showErrorMessage="1" error="กรุณากรอกข้อมูลในรูปแบบ วัน/เดือน/ปี ค.ศ._x000a_หากยังมี error โปรดตรวจสอบการตั้งค่า format วันที่บนเครื่องของท่าน" sqref="I16" xr:uid="{86F942E0-8AB9-4C28-85A7-00F5A736105A}">
      <formula1>45658</formula1>
      <formula2>46388</formula2>
    </dataValidation>
  </dataValidations>
  <pageMargins left="0.78740157480314965" right="1.06" top="0.78740157480314965" bottom="0.78740157480314965" header="0.31496062992125984" footer="0"/>
  <pageSetup paperSize="9" scale="36" orientation="portrait" r:id="rId1"/>
  <colBreaks count="1" manualBreakCount="1">
    <brk id="14" max="1048575" man="1"/>
  </colBreaks>
  <drawing r:id="rId2"/>
  <extLst>
    <ext xmlns:x14="http://schemas.microsoft.com/office/spreadsheetml/2009/9/main" uri="{CCE6A557-97BC-4b89-ADB6-D9C93CAAB3DF}">
      <x14:dataValidations xmlns:xm="http://schemas.microsoft.com/office/excel/2006/main" count="5">
        <x14:dataValidation type="list" allowBlank="1" showInputMessage="1" xr:uid="{18016C27-C32E-4B94-B8B7-29DDD78E7423}">
          <x14:formula1>
            <xm:f>_xlfn.ANCHORARRAY('Company List'!$C$2)</xm:f>
          </x14:formula1>
          <xm:sqref>C5:D5</xm:sqref>
        </x14:dataValidation>
        <x14:dataValidation type="list" allowBlank="1" showInputMessage="1" showErrorMessage="1" xr:uid="{B2AFDEFA-911D-49EA-A561-111DB5FB9DC7}">
          <x14:formula1>
            <xm:f>DataValidation!$A$1:$A$3</xm:f>
          </x14:formula1>
          <xm:sqref>C16:D16</xm:sqref>
        </x14:dataValidation>
        <x14:dataValidation type="list" allowBlank="1" showInputMessage="1" showErrorMessage="1" xr:uid="{F2811D70-E728-48D8-AB55-1B5C60913B64}">
          <x14:formula1>
            <xm:f>DataValidation!$D$1:$D$4</xm:f>
          </x14:formula1>
          <xm:sqref>C26</xm:sqref>
        </x14:dataValidation>
        <x14:dataValidation type="list" allowBlank="1" showInputMessage="1" showErrorMessage="1" xr:uid="{69223A53-1E72-41B1-A635-C382C0E4C8D5}">
          <x14:formula1>
            <xm:f>DataValidation!$B$1:$B$2</xm:f>
          </x14:formula1>
          <xm:sqref>D52:E1048576</xm:sqref>
        </x14:dataValidation>
        <x14:dataValidation type="list" allowBlank="1" xr:uid="{090DA09F-F165-4508-AB92-E3D828CFFF39}">
          <x14:formula1>
            <xm:f>DataValidation!$B$1:$B$2</xm:f>
          </x14:formula1>
          <xm:sqref>D32:E51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C3584D-1F15-4C0C-A65C-E5A7B24BADF7}">
  <sheetPr>
    <tabColor theme="9" tint="0.39997558519241921"/>
  </sheetPr>
  <dimension ref="A1:K71"/>
  <sheetViews>
    <sheetView zoomScaleNormal="100" workbookViewId="0">
      <selection activeCell="D68" sqref="D68"/>
    </sheetView>
  </sheetViews>
  <sheetFormatPr defaultColWidth="8.69921875" defaultRowHeight="12.55" x14ac:dyDescent="0.2"/>
  <cols>
    <col min="1" max="1" width="7.69921875" style="166" customWidth="1"/>
    <col min="2" max="2" width="64.19921875" style="152" customWidth="1"/>
    <col min="3" max="3" width="25.69921875" style="152" customWidth="1"/>
    <col min="4" max="4" width="21.19921875" style="152" bestFit="1" customWidth="1"/>
    <col min="5" max="5" width="8.69921875" style="152"/>
    <col min="6" max="6" width="17.19921875" style="152" customWidth="1"/>
    <col min="7" max="16384" width="8.69921875" style="152"/>
  </cols>
  <sheetData>
    <row r="1" spans="1:11" x14ac:dyDescent="0.2">
      <c r="A1" s="148" t="s">
        <v>52</v>
      </c>
      <c r="B1" s="149"/>
      <c r="C1" s="149"/>
      <c r="D1" s="150"/>
      <c r="E1" s="151"/>
      <c r="F1" s="151"/>
      <c r="G1" s="151"/>
      <c r="H1" s="151"/>
      <c r="I1" s="151"/>
      <c r="J1" s="151"/>
      <c r="K1" s="151"/>
    </row>
    <row r="2" spans="1:11" s="153" customFormat="1" x14ac:dyDescent="0.2">
      <c r="A2" s="727" t="s">
        <v>53</v>
      </c>
      <c r="B2" s="727"/>
      <c r="C2" s="727"/>
      <c r="D2" s="727"/>
      <c r="F2" s="77"/>
    </row>
    <row r="3" spans="1:11" s="153" customFormat="1" x14ac:dyDescent="0.2">
      <c r="A3" s="154"/>
      <c r="B3" s="560" t="s">
        <v>54</v>
      </c>
      <c r="C3" s="155"/>
      <c r="D3" s="154"/>
      <c r="F3" s="77"/>
    </row>
    <row r="4" spans="1:11" s="153" customFormat="1" ht="30.7" customHeight="1" x14ac:dyDescent="0.2">
      <c r="A4" s="561"/>
      <c r="B4" s="728" t="s">
        <v>55</v>
      </c>
      <c r="C4" s="728"/>
      <c r="D4" s="728"/>
      <c r="F4" s="77"/>
    </row>
    <row r="5" spans="1:11" s="153" customFormat="1" ht="14.4" customHeight="1" x14ac:dyDescent="0.2">
      <c r="A5" s="561"/>
      <c r="B5" s="155"/>
      <c r="C5" s="155"/>
      <c r="D5" s="155"/>
      <c r="F5" s="77"/>
    </row>
    <row r="6" spans="1:11" ht="13.15" thickBot="1" x14ac:dyDescent="0.25">
      <c r="A6" s="156" t="s">
        <v>56</v>
      </c>
      <c r="B6" s="156"/>
      <c r="C6" s="156"/>
      <c r="D6" s="156" t="s">
        <v>57</v>
      </c>
      <c r="F6" s="77"/>
    </row>
    <row r="7" spans="1:11" ht="13.15" thickBot="1" x14ac:dyDescent="0.25">
      <c r="A7" s="157" t="s">
        <v>33</v>
      </c>
      <c r="B7" s="720" t="s">
        <v>58</v>
      </c>
      <c r="C7" s="720"/>
      <c r="D7" s="77"/>
      <c r="F7" s="77"/>
    </row>
    <row r="8" spans="1:11" ht="25.7" thickBot="1" x14ac:dyDescent="0.25">
      <c r="A8" s="158" t="s">
        <v>41</v>
      </c>
      <c r="B8" s="159" t="s">
        <v>59</v>
      </c>
      <c r="C8" s="160" t="s">
        <v>60</v>
      </c>
      <c r="D8" s="77"/>
    </row>
    <row r="9" spans="1:11" s="153" customFormat="1" ht="13.15" thickBot="1" x14ac:dyDescent="0.25">
      <c r="A9" s="161">
        <v>1</v>
      </c>
      <c r="B9" s="168"/>
      <c r="C9" s="169"/>
      <c r="D9" s="77"/>
      <c r="F9" s="77"/>
    </row>
    <row r="10" spans="1:11" s="153" customFormat="1" ht="13.15" thickBot="1" x14ac:dyDescent="0.25">
      <c r="A10" s="161">
        <v>2</v>
      </c>
      <c r="B10" s="168"/>
      <c r="C10" s="169"/>
      <c r="D10" s="77"/>
      <c r="F10" s="77"/>
    </row>
    <row r="11" spans="1:11" s="153" customFormat="1" ht="13.15" thickBot="1" x14ac:dyDescent="0.25">
      <c r="A11" s="161">
        <v>3</v>
      </c>
      <c r="B11" s="168"/>
      <c r="C11" s="169"/>
      <c r="D11" s="77"/>
      <c r="F11" s="77"/>
    </row>
    <row r="12" spans="1:11" s="153" customFormat="1" x14ac:dyDescent="0.2">
      <c r="A12" s="162"/>
      <c r="B12" s="163"/>
      <c r="C12" s="163"/>
      <c r="D12" s="77"/>
      <c r="F12" s="77"/>
    </row>
    <row r="13" spans="1:11" ht="13.15" thickBot="1" x14ac:dyDescent="0.25">
      <c r="A13" s="721" t="s">
        <v>61</v>
      </c>
      <c r="B13" s="721"/>
      <c r="C13" s="164"/>
      <c r="D13" s="165" t="s">
        <v>62</v>
      </c>
      <c r="E13" s="77"/>
      <c r="F13" s="77"/>
    </row>
    <row r="14" spans="1:11" ht="13.15" thickBot="1" x14ac:dyDescent="0.25">
      <c r="A14" s="157" t="s">
        <v>33</v>
      </c>
      <c r="B14" s="720" t="s">
        <v>63</v>
      </c>
      <c r="C14" s="720"/>
      <c r="D14" s="77"/>
    </row>
    <row r="15" spans="1:11" ht="25.7" thickBot="1" x14ac:dyDescent="0.25">
      <c r="A15" s="158" t="s">
        <v>41</v>
      </c>
      <c r="B15" s="159" t="s">
        <v>64</v>
      </c>
      <c r="C15" s="160" t="s">
        <v>60</v>
      </c>
      <c r="D15" s="77"/>
    </row>
    <row r="16" spans="1:11" ht="13.15" thickBot="1" x14ac:dyDescent="0.25">
      <c r="A16" s="161">
        <v>1</v>
      </c>
      <c r="B16" s="168"/>
      <c r="C16" s="169"/>
      <c r="D16" s="77"/>
    </row>
    <row r="17" spans="1:4" ht="13.15" thickBot="1" x14ac:dyDescent="0.25">
      <c r="A17" s="161">
        <v>2</v>
      </c>
      <c r="B17" s="168"/>
      <c r="C17" s="169"/>
      <c r="D17" s="77"/>
    </row>
    <row r="18" spans="1:4" ht="13.15" thickBot="1" x14ac:dyDescent="0.25">
      <c r="A18" s="161">
        <v>3</v>
      </c>
      <c r="B18" s="168"/>
      <c r="C18" s="169"/>
      <c r="D18" s="77"/>
    </row>
    <row r="19" spans="1:4" x14ac:dyDescent="0.2">
      <c r="B19" s="153"/>
      <c r="C19" s="153"/>
    </row>
    <row r="20" spans="1:4" ht="13.15" thickBot="1" x14ac:dyDescent="0.25">
      <c r="A20" s="721" t="s">
        <v>65</v>
      </c>
      <c r="B20" s="721"/>
      <c r="C20" s="164"/>
      <c r="D20" s="165" t="s">
        <v>62</v>
      </c>
    </row>
    <row r="21" spans="1:4" ht="13.15" thickBot="1" x14ac:dyDescent="0.25">
      <c r="A21" s="157" t="s">
        <v>33</v>
      </c>
      <c r="B21" s="720" t="s">
        <v>58</v>
      </c>
      <c r="C21" s="720"/>
    </row>
    <row r="22" spans="1:4" ht="25.7" thickBot="1" x14ac:dyDescent="0.25">
      <c r="A22" s="158" t="s">
        <v>41</v>
      </c>
      <c r="B22" s="159" t="s">
        <v>66</v>
      </c>
      <c r="C22" s="160" t="s">
        <v>60</v>
      </c>
    </row>
    <row r="23" spans="1:4" ht="13.15" thickBot="1" x14ac:dyDescent="0.25">
      <c r="A23" s="161">
        <v>1</v>
      </c>
      <c r="B23" s="168"/>
      <c r="C23" s="169"/>
    </row>
    <row r="24" spans="1:4" ht="13.15" thickBot="1" x14ac:dyDescent="0.25">
      <c r="A24" s="161">
        <v>2</v>
      </c>
      <c r="B24" s="168"/>
      <c r="C24" s="169"/>
    </row>
    <row r="25" spans="1:4" ht="13.15" thickBot="1" x14ac:dyDescent="0.25">
      <c r="A25" s="161">
        <v>3</v>
      </c>
      <c r="B25" s="168"/>
      <c r="C25" s="169"/>
    </row>
    <row r="26" spans="1:4" x14ac:dyDescent="0.2">
      <c r="B26" s="153"/>
      <c r="C26" s="153"/>
    </row>
    <row r="27" spans="1:4" ht="12.7" customHeight="1" thickBot="1" x14ac:dyDescent="0.25">
      <c r="A27" s="721" t="s">
        <v>67</v>
      </c>
      <c r="B27" s="721"/>
      <c r="C27" s="164"/>
      <c r="D27" s="165" t="s">
        <v>62</v>
      </c>
    </row>
    <row r="28" spans="1:4" ht="13.15" thickBot="1" x14ac:dyDescent="0.25">
      <c r="A28" s="157" t="s">
        <v>33</v>
      </c>
      <c r="B28" s="720" t="s">
        <v>63</v>
      </c>
      <c r="C28" s="720"/>
    </row>
    <row r="29" spans="1:4" ht="25.7" thickBot="1" x14ac:dyDescent="0.25">
      <c r="A29" s="158" t="s">
        <v>41</v>
      </c>
      <c r="B29" s="167" t="s">
        <v>68</v>
      </c>
      <c r="C29" s="160" t="s">
        <v>60</v>
      </c>
    </row>
    <row r="30" spans="1:4" ht="13.15" thickBot="1" x14ac:dyDescent="0.25">
      <c r="A30" s="161">
        <v>1</v>
      </c>
      <c r="B30" s="168"/>
      <c r="C30" s="169"/>
    </row>
    <row r="31" spans="1:4" ht="13.15" thickBot="1" x14ac:dyDescent="0.25">
      <c r="A31" s="161">
        <v>2</v>
      </c>
      <c r="B31" s="168"/>
      <c r="C31" s="169"/>
    </row>
    <row r="32" spans="1:4" ht="13.15" thickBot="1" x14ac:dyDescent="0.25">
      <c r="A32" s="161">
        <v>3</v>
      </c>
      <c r="B32" s="168"/>
      <c r="C32" s="169"/>
    </row>
    <row r="33" spans="1:4" x14ac:dyDescent="0.2">
      <c r="B33" s="153"/>
      <c r="C33" s="153"/>
    </row>
    <row r="34" spans="1:4" x14ac:dyDescent="0.2">
      <c r="A34" s="721" t="s">
        <v>69</v>
      </c>
      <c r="B34" s="721"/>
      <c r="C34" s="164"/>
      <c r="D34" s="165" t="s">
        <v>62</v>
      </c>
    </row>
    <row r="35" spans="1:4" ht="35.25" customHeight="1" thickBot="1" x14ac:dyDescent="0.25">
      <c r="A35" s="726" t="s">
        <v>70</v>
      </c>
      <c r="B35" s="726"/>
      <c r="C35" s="726"/>
      <c r="D35" s="726"/>
    </row>
    <row r="36" spans="1:4" ht="13.15" thickBot="1" x14ac:dyDescent="0.25">
      <c r="A36" s="157" t="s">
        <v>33</v>
      </c>
      <c r="B36" s="720" t="s">
        <v>63</v>
      </c>
      <c r="C36" s="720"/>
    </row>
    <row r="37" spans="1:4" ht="25.7" thickBot="1" x14ac:dyDescent="0.25">
      <c r="A37" s="158" t="s">
        <v>41</v>
      </c>
      <c r="B37" s="167" t="s">
        <v>71</v>
      </c>
      <c r="C37" s="160" t="s">
        <v>60</v>
      </c>
    </row>
    <row r="38" spans="1:4" ht="13.15" thickBot="1" x14ac:dyDescent="0.25">
      <c r="A38" s="161">
        <v>1</v>
      </c>
      <c r="B38" s="168"/>
      <c r="C38" s="169"/>
    </row>
    <row r="39" spans="1:4" ht="13.15" thickBot="1" x14ac:dyDescent="0.25">
      <c r="A39" s="161">
        <v>2</v>
      </c>
      <c r="B39" s="168"/>
      <c r="C39" s="169"/>
    </row>
    <row r="40" spans="1:4" ht="13.15" thickBot="1" x14ac:dyDescent="0.25">
      <c r="A40" s="161">
        <v>3</v>
      </c>
      <c r="B40" s="168"/>
      <c r="C40" s="169"/>
    </row>
    <row r="41" spans="1:4" x14ac:dyDescent="0.2">
      <c r="B41" s="153"/>
      <c r="C41" s="153"/>
    </row>
    <row r="42" spans="1:4" x14ac:dyDescent="0.2">
      <c r="A42" s="721" t="s">
        <v>72</v>
      </c>
      <c r="B42" s="721"/>
      <c r="C42" s="164"/>
      <c r="D42" s="165" t="s">
        <v>62</v>
      </c>
    </row>
    <row r="43" spans="1:4" ht="30.7" customHeight="1" thickBot="1" x14ac:dyDescent="0.25">
      <c r="A43" s="723" t="s">
        <v>73</v>
      </c>
      <c r="B43" s="723"/>
      <c r="C43" s="723"/>
      <c r="D43" s="723"/>
    </row>
    <row r="44" spans="1:4" ht="13.15" thickBot="1" x14ac:dyDescent="0.25">
      <c r="A44" s="157" t="s">
        <v>33</v>
      </c>
      <c r="B44" s="720" t="s">
        <v>63</v>
      </c>
      <c r="C44" s="720"/>
    </row>
    <row r="45" spans="1:4" ht="25.7" thickBot="1" x14ac:dyDescent="0.25">
      <c r="A45" s="158" t="s">
        <v>41</v>
      </c>
      <c r="B45" s="167" t="s">
        <v>74</v>
      </c>
      <c r="C45" s="160" t="s">
        <v>60</v>
      </c>
    </row>
    <row r="46" spans="1:4" ht="13.15" thickBot="1" x14ac:dyDescent="0.25">
      <c r="A46" s="161">
        <v>1</v>
      </c>
      <c r="B46" s="168"/>
      <c r="C46" s="169"/>
    </row>
    <row r="47" spans="1:4" ht="13.15" thickBot="1" x14ac:dyDescent="0.25">
      <c r="A47" s="161">
        <v>2</v>
      </c>
      <c r="B47" s="168"/>
      <c r="C47" s="169"/>
    </row>
    <row r="48" spans="1:4" ht="13.15" thickBot="1" x14ac:dyDescent="0.25">
      <c r="A48" s="161">
        <v>3</v>
      </c>
      <c r="B48" s="168"/>
      <c r="C48" s="169"/>
    </row>
    <row r="49" spans="1:4" x14ac:dyDescent="0.2">
      <c r="B49" s="153"/>
      <c r="C49" s="153"/>
    </row>
    <row r="50" spans="1:4" ht="12.7" customHeight="1" thickBot="1" x14ac:dyDescent="0.25">
      <c r="A50" s="721" t="s">
        <v>75</v>
      </c>
      <c r="B50" s="721"/>
      <c r="C50" s="164"/>
      <c r="D50" s="165" t="s">
        <v>62</v>
      </c>
    </row>
    <row r="51" spans="1:4" ht="13.15" thickBot="1" x14ac:dyDescent="0.25">
      <c r="A51" s="157" t="s">
        <v>33</v>
      </c>
      <c r="B51" s="720" t="s">
        <v>63</v>
      </c>
      <c r="C51" s="720"/>
    </row>
    <row r="52" spans="1:4" ht="25.7" thickBot="1" x14ac:dyDescent="0.25">
      <c r="A52" s="158" t="s">
        <v>41</v>
      </c>
      <c r="B52" s="159" t="s">
        <v>76</v>
      </c>
      <c r="C52" s="160" t="s">
        <v>60</v>
      </c>
    </row>
    <row r="53" spans="1:4" ht="13.15" thickBot="1" x14ac:dyDescent="0.25">
      <c r="A53" s="161">
        <v>1</v>
      </c>
      <c r="B53" s="168"/>
      <c r="C53" s="169"/>
    </row>
    <row r="54" spans="1:4" ht="13.15" thickBot="1" x14ac:dyDescent="0.25">
      <c r="A54" s="161">
        <v>2</v>
      </c>
      <c r="B54" s="168"/>
      <c r="C54" s="169"/>
    </row>
    <row r="55" spans="1:4" ht="13.15" thickBot="1" x14ac:dyDescent="0.25">
      <c r="A55" s="161">
        <v>3</v>
      </c>
      <c r="B55" s="168"/>
      <c r="C55" s="169"/>
    </row>
    <row r="56" spans="1:4" x14ac:dyDescent="0.2">
      <c r="B56" s="153"/>
      <c r="C56" s="153"/>
    </row>
    <row r="57" spans="1:4" ht="13.15" thickBot="1" x14ac:dyDescent="0.25">
      <c r="A57" s="721" t="s">
        <v>77</v>
      </c>
      <c r="B57" s="721"/>
      <c r="C57" s="164"/>
      <c r="D57" s="165" t="s">
        <v>62</v>
      </c>
    </row>
    <row r="58" spans="1:4" ht="13.15" thickBot="1" x14ac:dyDescent="0.25">
      <c r="A58" s="157" t="s">
        <v>33</v>
      </c>
      <c r="B58" s="720" t="s">
        <v>58</v>
      </c>
      <c r="C58" s="720"/>
      <c r="D58" s="77"/>
    </row>
    <row r="59" spans="1:4" ht="25.7" thickBot="1" x14ac:dyDescent="0.25">
      <c r="A59" s="158" t="s">
        <v>41</v>
      </c>
      <c r="B59" s="159" t="s">
        <v>78</v>
      </c>
      <c r="C59" s="160" t="s">
        <v>60</v>
      </c>
      <c r="D59" s="77"/>
    </row>
    <row r="60" spans="1:4" ht="13.15" thickBot="1" x14ac:dyDescent="0.25">
      <c r="A60" s="161">
        <v>1</v>
      </c>
      <c r="B60" s="168"/>
      <c r="C60" s="169"/>
      <c r="D60" s="77"/>
    </row>
    <row r="61" spans="1:4" ht="13.15" thickBot="1" x14ac:dyDescent="0.25">
      <c r="A61" s="161">
        <v>2</v>
      </c>
      <c r="B61" s="168"/>
      <c r="C61" s="169"/>
      <c r="D61" s="77"/>
    </row>
    <row r="62" spans="1:4" ht="13.15" thickBot="1" x14ac:dyDescent="0.25">
      <c r="A62" s="161">
        <v>3</v>
      </c>
      <c r="B62" s="168"/>
      <c r="C62" s="169"/>
      <c r="D62" s="77"/>
    </row>
    <row r="64" spans="1:4" ht="12.7" customHeight="1" x14ac:dyDescent="0.2">
      <c r="A64" s="721" t="s">
        <v>79</v>
      </c>
      <c r="B64" s="721"/>
      <c r="C64" s="722" t="s">
        <v>80</v>
      </c>
      <c r="D64" s="722"/>
    </row>
    <row r="65" spans="1:4" ht="47.15" customHeight="1" thickBot="1" x14ac:dyDescent="0.25">
      <c r="A65" s="723" t="s">
        <v>81</v>
      </c>
      <c r="B65" s="723"/>
      <c r="C65" s="723"/>
      <c r="D65" s="723"/>
    </row>
    <row r="66" spans="1:4" ht="13.15" thickBot="1" x14ac:dyDescent="0.25">
      <c r="A66" s="157" t="s">
        <v>33</v>
      </c>
      <c r="B66" s="157" t="s">
        <v>58</v>
      </c>
    </row>
    <row r="67" spans="1:4" ht="13.15" thickBot="1" x14ac:dyDescent="0.25">
      <c r="A67" s="158" t="s">
        <v>41</v>
      </c>
      <c r="B67" s="159" t="s">
        <v>82</v>
      </c>
    </row>
    <row r="68" spans="1:4" ht="13.15" thickBot="1" x14ac:dyDescent="0.25">
      <c r="A68" s="161">
        <v>1</v>
      </c>
      <c r="B68" s="168"/>
    </row>
    <row r="69" spans="1:4" ht="13.15" thickBot="1" x14ac:dyDescent="0.25">
      <c r="A69" s="161">
        <v>2</v>
      </c>
      <c r="B69" s="168"/>
    </row>
    <row r="70" spans="1:4" ht="13.15" thickBot="1" x14ac:dyDescent="0.25">
      <c r="A70" s="161">
        <v>3</v>
      </c>
      <c r="B70" s="168"/>
    </row>
    <row r="71" spans="1:4" ht="14.4" x14ac:dyDescent="0.2">
      <c r="A71" s="724"/>
      <c r="B71" s="725"/>
    </row>
  </sheetData>
  <sheetProtection formatColumns="0" formatRows="0" selectLockedCells="1"/>
  <mergeCells count="23">
    <mergeCell ref="A20:B20"/>
    <mergeCell ref="A2:D2"/>
    <mergeCell ref="B4:D4"/>
    <mergeCell ref="B7:C7"/>
    <mergeCell ref="A13:B13"/>
    <mergeCell ref="B14:C14"/>
    <mergeCell ref="A57:B57"/>
    <mergeCell ref="B21:C21"/>
    <mergeCell ref="A27:B27"/>
    <mergeCell ref="B28:C28"/>
    <mergeCell ref="A34:B34"/>
    <mergeCell ref="A35:D35"/>
    <mergeCell ref="B36:C36"/>
    <mergeCell ref="A42:B42"/>
    <mergeCell ref="A43:D43"/>
    <mergeCell ref="B44:C44"/>
    <mergeCell ref="A50:B50"/>
    <mergeCell ref="B51:C51"/>
    <mergeCell ref="B58:C58"/>
    <mergeCell ref="A64:B64"/>
    <mergeCell ref="C64:D64"/>
    <mergeCell ref="A65:D65"/>
    <mergeCell ref="A71:B71"/>
  </mergeCells>
  <dataValidations count="1">
    <dataValidation allowBlank="1" showErrorMessage="1" sqref="C9:C11 C16:C18 C23:C25 C30:C32 C53:C55 C60:C62 C68:C70 C38:C40 C46:C48" xr:uid="{E54AEC89-44B3-438A-9D15-BB2A719E43F5}"/>
  </dataValidation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8">
        <x14:dataValidation type="list" allowBlank="1" showInputMessage="1" showErrorMessage="1" xr:uid="{428AE727-73D1-4D90-975D-2B05DCABEA0E}">
          <x14:formula1>
            <xm:f>DataValidation!$A$64:$A$90</xm:f>
          </x14:formula1>
          <xm:sqref>B9:B11</xm:sqref>
        </x14:dataValidation>
        <x14:dataValidation type="list" allowBlank="1" showInputMessage="1" showErrorMessage="1" xr:uid="{B525A53E-B069-4897-ADAB-CFB1A7AB6772}">
          <x14:formula1>
            <xm:f>DataValidation!$B$64:$B$80</xm:f>
          </x14:formula1>
          <xm:sqref>B16:B18</xm:sqref>
        </x14:dataValidation>
        <x14:dataValidation type="list" allowBlank="1" showInputMessage="1" showErrorMessage="1" xr:uid="{B03FA17C-D070-414A-ABF8-5A464C61B3ED}">
          <x14:formula1>
            <xm:f>DataValidation!$C$64:$C$79</xm:f>
          </x14:formula1>
          <xm:sqref>B23:B25</xm:sqref>
        </x14:dataValidation>
        <x14:dataValidation type="list" allowBlank="1" showInputMessage="1" showErrorMessage="1" xr:uid="{82D00C46-FC4A-4A0D-A403-FE7412660372}">
          <x14:formula1>
            <xm:f>DataValidation!$D$64:$D$82</xm:f>
          </x14:formula1>
          <xm:sqref>B30:B32</xm:sqref>
        </x14:dataValidation>
        <x14:dataValidation type="list" allowBlank="1" showInputMessage="1" showErrorMessage="1" xr:uid="{C1E9FBBF-5B83-4C6F-8174-1B52F921DEE1}">
          <x14:formula1>
            <xm:f>DataValidation!$G$64:$G$77</xm:f>
          </x14:formula1>
          <xm:sqref>B38:B40</xm:sqref>
        </x14:dataValidation>
        <x14:dataValidation type="list" allowBlank="1" showInputMessage="1" showErrorMessage="1" xr:uid="{101D6EF1-2D73-47AB-BCC0-DE504AD135D5}">
          <x14:formula1>
            <xm:f>DataValidation!$H$64:$H$75</xm:f>
          </x14:formula1>
          <xm:sqref>B46:B48</xm:sqref>
        </x14:dataValidation>
        <x14:dataValidation type="list" allowBlank="1" showInputMessage="1" showErrorMessage="1" xr:uid="{47480F5B-9253-4425-AB34-7E9ED50B2865}">
          <x14:formula1>
            <xm:f>DataValidation!$E$64:$E$85</xm:f>
          </x14:formula1>
          <xm:sqref>B53:B55</xm:sqref>
        </x14:dataValidation>
        <x14:dataValidation type="list" allowBlank="1" showInputMessage="1" showErrorMessage="1" xr:uid="{AAAAAF88-24FD-45DA-B342-965B27C14EFD}">
          <x14:formula1>
            <xm:f>DataValidation!$F$64:$F$76</xm:f>
          </x14:formula1>
          <xm:sqref>B60:B62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4C8C0D-322D-4223-938F-C78BAE99CE1B}">
  <sheetPr codeName="Sheet4">
    <tabColor theme="9" tint="0.39997558519241921"/>
  </sheetPr>
  <dimension ref="A1:I37"/>
  <sheetViews>
    <sheetView zoomScale="55" zoomScaleNormal="55" workbookViewId="0">
      <selection activeCell="H10" sqref="H10"/>
    </sheetView>
  </sheetViews>
  <sheetFormatPr defaultColWidth="39.19921875" defaultRowHeight="12.55" x14ac:dyDescent="0.2"/>
  <cols>
    <col min="1" max="1" width="11.19921875" style="166" customWidth="1"/>
    <col min="2" max="2" width="20.69921875" style="166" customWidth="1"/>
    <col min="3" max="3" width="32.09765625" style="152" customWidth="1"/>
    <col min="4" max="4" width="23.19921875" style="152" customWidth="1"/>
    <col min="5" max="5" width="21.19921875" style="152" customWidth="1"/>
    <col min="6" max="6" width="21.3984375" style="152" customWidth="1"/>
    <col min="7" max="7" width="89.09765625" style="152" customWidth="1"/>
    <col min="8" max="16384" width="39.19921875" style="152"/>
  </cols>
  <sheetData>
    <row r="1" spans="1:9" x14ac:dyDescent="0.2">
      <c r="A1" s="170" t="s">
        <v>83</v>
      </c>
      <c r="B1" s="148"/>
      <c r="C1" s="171"/>
      <c r="D1" s="171"/>
      <c r="E1" s="171"/>
      <c r="F1" s="171"/>
      <c r="G1" s="171"/>
    </row>
    <row r="2" spans="1:9" s="69" customFormat="1" ht="32.9" customHeight="1" x14ac:dyDescent="0.25">
      <c r="A2" s="729" t="s">
        <v>84</v>
      </c>
      <c r="B2" s="729"/>
      <c r="C2" s="729"/>
      <c r="D2" s="729"/>
      <c r="E2" s="729"/>
      <c r="F2" s="729"/>
      <c r="G2" s="729"/>
      <c r="H2" s="65"/>
      <c r="I2" s="65"/>
    </row>
    <row r="3" spans="1:9" s="166" customFormat="1" ht="55.1" customHeight="1" x14ac:dyDescent="0.2">
      <c r="A3" s="172" t="s">
        <v>33</v>
      </c>
      <c r="B3" s="172" t="s">
        <v>85</v>
      </c>
      <c r="C3" s="172" t="s">
        <v>86</v>
      </c>
      <c r="D3" s="172" t="s">
        <v>87</v>
      </c>
      <c r="E3" s="173" t="s">
        <v>88</v>
      </c>
      <c r="F3" s="172" t="s">
        <v>89</v>
      </c>
      <c r="G3" s="173" t="s">
        <v>90</v>
      </c>
    </row>
    <row r="4" spans="1:9" s="154" customFormat="1" ht="34.15" customHeight="1" x14ac:dyDescent="0.25">
      <c r="A4" s="14" t="s">
        <v>41</v>
      </c>
      <c r="B4" s="174" t="s">
        <v>91</v>
      </c>
      <c r="C4" s="175" t="s">
        <v>92</v>
      </c>
      <c r="D4" s="175"/>
      <c r="E4" s="175" t="s">
        <v>93</v>
      </c>
      <c r="F4" s="175" t="s">
        <v>94</v>
      </c>
      <c r="G4" s="175" t="s">
        <v>95</v>
      </c>
    </row>
    <row r="5" spans="1:9" s="154" customFormat="1" ht="44.45" customHeight="1" x14ac:dyDescent="0.25">
      <c r="A5" s="14" t="s">
        <v>41</v>
      </c>
      <c r="B5" s="174" t="s">
        <v>96</v>
      </c>
      <c r="C5" s="175" t="s">
        <v>97</v>
      </c>
      <c r="D5" s="175"/>
      <c r="E5" s="175" t="s">
        <v>98</v>
      </c>
      <c r="F5" s="175" t="s">
        <v>94</v>
      </c>
      <c r="G5" s="175" t="s">
        <v>99</v>
      </c>
    </row>
    <row r="6" spans="1:9" s="154" customFormat="1" ht="34.15" customHeight="1" x14ac:dyDescent="0.25">
      <c r="A6" s="14" t="s">
        <v>41</v>
      </c>
      <c r="B6" s="174" t="s">
        <v>91</v>
      </c>
      <c r="C6" s="176" t="s">
        <v>100</v>
      </c>
      <c r="D6" s="176"/>
      <c r="E6" s="176" t="s">
        <v>101</v>
      </c>
      <c r="F6" s="176" t="s">
        <v>102</v>
      </c>
      <c r="G6" s="176" t="s">
        <v>103</v>
      </c>
    </row>
    <row r="7" spans="1:9" s="154" customFormat="1" ht="41.95" customHeight="1" x14ac:dyDescent="0.25">
      <c r="A7" s="14" t="s">
        <v>41</v>
      </c>
      <c r="B7" s="174" t="s">
        <v>96</v>
      </c>
      <c r="C7" s="176" t="s">
        <v>104</v>
      </c>
      <c r="D7" s="176" t="s">
        <v>105</v>
      </c>
      <c r="E7" s="176" t="s">
        <v>106</v>
      </c>
      <c r="F7" s="176" t="s">
        <v>107</v>
      </c>
      <c r="G7" s="176" t="s">
        <v>108</v>
      </c>
    </row>
    <row r="8" spans="1:9" ht="34.15" customHeight="1" x14ac:dyDescent="0.2">
      <c r="A8" s="177">
        <v>1</v>
      </c>
      <c r="B8" s="179"/>
      <c r="C8" s="180"/>
      <c r="D8" s="181"/>
      <c r="E8" s="180"/>
      <c r="F8" s="180"/>
      <c r="G8" s="180"/>
    </row>
    <row r="9" spans="1:9" ht="34.15" customHeight="1" x14ac:dyDescent="0.2">
      <c r="A9" s="178">
        <v>2</v>
      </c>
      <c r="B9" s="182"/>
      <c r="C9" s="183"/>
      <c r="D9" s="184"/>
      <c r="E9" s="183"/>
      <c r="F9" s="183"/>
      <c r="G9" s="183"/>
    </row>
    <row r="10" spans="1:9" ht="34.15" customHeight="1" x14ac:dyDescent="0.2">
      <c r="A10" s="178">
        <v>3</v>
      </c>
      <c r="B10" s="182"/>
      <c r="C10" s="183"/>
      <c r="D10" s="184"/>
      <c r="E10" s="183"/>
      <c r="F10" s="183"/>
      <c r="G10" s="183"/>
    </row>
    <row r="11" spans="1:9" ht="34.15" customHeight="1" x14ac:dyDescent="0.2">
      <c r="A11" s="178">
        <v>4</v>
      </c>
      <c r="B11" s="182"/>
      <c r="C11" s="183"/>
      <c r="D11" s="184"/>
      <c r="E11" s="183"/>
      <c r="F11" s="183"/>
      <c r="G11" s="183"/>
    </row>
    <row r="12" spans="1:9" ht="34.15" customHeight="1" x14ac:dyDescent="0.2">
      <c r="A12" s="178">
        <v>5</v>
      </c>
      <c r="B12" s="182"/>
      <c r="C12" s="183"/>
      <c r="D12" s="184"/>
      <c r="E12" s="183"/>
      <c r="F12" s="183"/>
      <c r="G12" s="183"/>
    </row>
    <row r="13" spans="1:9" ht="34.15" customHeight="1" x14ac:dyDescent="0.2">
      <c r="A13" s="178">
        <v>6</v>
      </c>
      <c r="B13" s="182"/>
      <c r="C13" s="183"/>
      <c r="D13" s="184"/>
      <c r="E13" s="183"/>
      <c r="F13" s="183"/>
      <c r="G13" s="183"/>
    </row>
    <row r="14" spans="1:9" ht="34.15" customHeight="1" x14ac:dyDescent="0.2">
      <c r="A14" s="178">
        <v>7</v>
      </c>
      <c r="B14" s="182"/>
      <c r="C14" s="183"/>
      <c r="D14" s="184"/>
      <c r="E14" s="183"/>
      <c r="F14" s="183"/>
      <c r="G14" s="183"/>
    </row>
    <row r="15" spans="1:9" ht="34.15" customHeight="1" x14ac:dyDescent="0.2">
      <c r="A15" s="178">
        <v>8</v>
      </c>
      <c r="B15" s="182"/>
      <c r="C15" s="183"/>
      <c r="D15" s="184"/>
      <c r="E15" s="183"/>
      <c r="F15" s="183"/>
      <c r="G15" s="183"/>
    </row>
    <row r="16" spans="1:9" ht="34.15" customHeight="1" x14ac:dyDescent="0.2">
      <c r="A16" s="178">
        <v>9</v>
      </c>
      <c r="B16" s="182"/>
      <c r="C16" s="183"/>
      <c r="D16" s="184"/>
      <c r="E16" s="183"/>
      <c r="F16" s="183"/>
      <c r="G16" s="183"/>
    </row>
    <row r="17" spans="1:7" ht="34.15" customHeight="1" x14ac:dyDescent="0.2">
      <c r="A17" s="178">
        <v>10</v>
      </c>
      <c r="B17" s="182"/>
      <c r="C17" s="183"/>
      <c r="D17" s="184"/>
      <c r="E17" s="183"/>
      <c r="F17" s="183"/>
      <c r="G17" s="183"/>
    </row>
    <row r="18" spans="1:7" ht="34.15" customHeight="1" x14ac:dyDescent="0.2">
      <c r="A18" s="178">
        <v>11</v>
      </c>
      <c r="B18" s="182"/>
      <c r="C18" s="183"/>
      <c r="D18" s="184"/>
      <c r="E18" s="183"/>
      <c r="F18" s="183"/>
      <c r="G18" s="183"/>
    </row>
    <row r="19" spans="1:7" ht="34.15" customHeight="1" x14ac:dyDescent="0.2">
      <c r="A19" s="178">
        <v>12</v>
      </c>
      <c r="B19" s="182"/>
      <c r="C19" s="183"/>
      <c r="D19" s="184"/>
      <c r="E19" s="183"/>
      <c r="F19" s="183"/>
      <c r="G19" s="183"/>
    </row>
    <row r="20" spans="1:7" ht="34.15" customHeight="1" x14ac:dyDescent="0.2">
      <c r="A20" s="178">
        <v>13</v>
      </c>
      <c r="B20" s="182"/>
      <c r="C20" s="183"/>
      <c r="D20" s="184"/>
      <c r="E20" s="183"/>
      <c r="F20" s="183"/>
      <c r="G20" s="183"/>
    </row>
    <row r="21" spans="1:7" ht="34.15" customHeight="1" x14ac:dyDescent="0.2">
      <c r="A21" s="178">
        <v>14</v>
      </c>
      <c r="B21" s="182"/>
      <c r="C21" s="183"/>
      <c r="D21" s="184"/>
      <c r="E21" s="183"/>
      <c r="F21" s="183"/>
      <c r="G21" s="183"/>
    </row>
    <row r="22" spans="1:7" ht="34.15" customHeight="1" x14ac:dyDescent="0.2">
      <c r="A22" s="178">
        <v>15</v>
      </c>
      <c r="B22" s="182"/>
      <c r="C22" s="183"/>
      <c r="D22" s="184"/>
      <c r="E22" s="183"/>
      <c r="F22" s="183"/>
      <c r="G22" s="183"/>
    </row>
    <row r="23" spans="1:7" ht="34.15" customHeight="1" x14ac:dyDescent="0.2">
      <c r="A23" s="178">
        <v>16</v>
      </c>
      <c r="B23" s="182"/>
      <c r="C23" s="183"/>
      <c r="D23" s="184"/>
      <c r="E23" s="183"/>
      <c r="F23" s="183"/>
      <c r="G23" s="183"/>
    </row>
    <row r="24" spans="1:7" ht="34.15" customHeight="1" x14ac:dyDescent="0.2">
      <c r="A24" s="178">
        <v>17</v>
      </c>
      <c r="B24" s="182"/>
      <c r="C24" s="183"/>
      <c r="D24" s="184"/>
      <c r="E24" s="183"/>
      <c r="F24" s="183"/>
      <c r="G24" s="183"/>
    </row>
    <row r="25" spans="1:7" ht="34.15" customHeight="1" x14ac:dyDescent="0.2">
      <c r="A25" s="178">
        <v>18</v>
      </c>
      <c r="B25" s="182"/>
      <c r="C25" s="183"/>
      <c r="D25" s="184"/>
      <c r="E25" s="183"/>
      <c r="F25" s="183"/>
      <c r="G25" s="183"/>
    </row>
    <row r="26" spans="1:7" ht="34.15" customHeight="1" x14ac:dyDescent="0.2">
      <c r="A26" s="178">
        <v>19</v>
      </c>
      <c r="B26" s="182"/>
      <c r="C26" s="183"/>
      <c r="D26" s="184"/>
      <c r="E26" s="183"/>
      <c r="F26" s="183"/>
      <c r="G26" s="183"/>
    </row>
    <row r="27" spans="1:7" ht="34.15" customHeight="1" x14ac:dyDescent="0.2">
      <c r="A27" s="178">
        <v>20</v>
      </c>
      <c r="B27" s="182"/>
      <c r="C27" s="183"/>
      <c r="D27" s="184"/>
      <c r="E27" s="183"/>
      <c r="F27" s="183"/>
      <c r="G27" s="183"/>
    </row>
    <row r="28" spans="1:7" ht="34.15" customHeight="1" x14ac:dyDescent="0.2">
      <c r="A28" s="178">
        <v>21</v>
      </c>
      <c r="B28" s="182"/>
      <c r="C28" s="183"/>
      <c r="D28" s="184"/>
      <c r="E28" s="183"/>
      <c r="F28" s="183"/>
      <c r="G28" s="183"/>
    </row>
    <row r="29" spans="1:7" ht="34.15" customHeight="1" x14ac:dyDescent="0.2">
      <c r="A29" s="178">
        <v>22</v>
      </c>
      <c r="B29" s="182"/>
      <c r="C29" s="183"/>
      <c r="D29" s="184"/>
      <c r="E29" s="183"/>
      <c r="F29" s="183"/>
      <c r="G29" s="183"/>
    </row>
    <row r="30" spans="1:7" ht="34.15" customHeight="1" x14ac:dyDescent="0.2">
      <c r="A30" s="178">
        <v>23</v>
      </c>
      <c r="B30" s="182"/>
      <c r="C30" s="183"/>
      <c r="D30" s="184"/>
      <c r="E30" s="183"/>
      <c r="F30" s="183"/>
      <c r="G30" s="183"/>
    </row>
    <row r="31" spans="1:7" ht="34.15" customHeight="1" x14ac:dyDescent="0.2">
      <c r="A31" s="178">
        <v>24</v>
      </c>
      <c r="B31" s="182"/>
      <c r="C31" s="183"/>
      <c r="D31" s="184"/>
      <c r="E31" s="183"/>
      <c r="F31" s="183"/>
      <c r="G31" s="183"/>
    </row>
    <row r="32" spans="1:7" ht="34.15" customHeight="1" x14ac:dyDescent="0.2">
      <c r="A32" s="178">
        <v>25</v>
      </c>
      <c r="B32" s="182"/>
      <c r="C32" s="183"/>
      <c r="D32" s="184"/>
      <c r="E32" s="183"/>
      <c r="F32" s="183"/>
      <c r="G32" s="183"/>
    </row>
    <row r="33" spans="1:7" ht="34.15" customHeight="1" x14ac:dyDescent="0.2">
      <c r="A33" s="178">
        <v>26</v>
      </c>
      <c r="B33" s="182"/>
      <c r="C33" s="183"/>
      <c r="D33" s="184"/>
      <c r="E33" s="183"/>
      <c r="F33" s="183"/>
      <c r="G33" s="183"/>
    </row>
    <row r="34" spans="1:7" ht="34.15" customHeight="1" x14ac:dyDescent="0.2">
      <c r="A34" s="178">
        <v>27</v>
      </c>
      <c r="B34" s="182"/>
      <c r="C34" s="183"/>
      <c r="D34" s="184"/>
      <c r="E34" s="183"/>
      <c r="F34" s="183"/>
      <c r="G34" s="183"/>
    </row>
    <row r="35" spans="1:7" ht="34.15" customHeight="1" x14ac:dyDescent="0.2">
      <c r="A35" s="178">
        <v>28</v>
      </c>
      <c r="B35" s="182"/>
      <c r="C35" s="183"/>
      <c r="D35" s="184"/>
      <c r="E35" s="183"/>
      <c r="F35" s="183"/>
      <c r="G35" s="183"/>
    </row>
    <row r="36" spans="1:7" ht="34.15" customHeight="1" x14ac:dyDescent="0.2">
      <c r="A36" s="178">
        <v>29</v>
      </c>
      <c r="B36" s="182"/>
      <c r="C36" s="183"/>
      <c r="D36" s="184"/>
      <c r="E36" s="183"/>
      <c r="F36" s="183"/>
      <c r="G36" s="183"/>
    </row>
    <row r="37" spans="1:7" ht="34.15" customHeight="1" x14ac:dyDescent="0.2">
      <c r="A37" s="178">
        <v>30</v>
      </c>
      <c r="B37" s="182"/>
      <c r="C37" s="183"/>
      <c r="D37" s="184"/>
      <c r="E37" s="183"/>
      <c r="F37" s="183"/>
      <c r="G37" s="183"/>
    </row>
  </sheetData>
  <sheetProtection selectLockedCells="1"/>
  <mergeCells count="1">
    <mergeCell ref="A2:G2"/>
  </mergeCell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4">
        <x14:dataValidation type="list" allowBlank="1" showInputMessage="1" showErrorMessage="1" xr:uid="{D04C3ED0-6C2D-4395-8C0E-31F1E302A114}">
          <x14:formula1>
            <xm:f>DataValidation!$D$40:$D$41</xm:f>
          </x14:formula1>
          <xm:sqref>B8:B37</xm:sqref>
        </x14:dataValidation>
        <x14:dataValidation type="list" allowBlank="1" showInputMessage="1" showErrorMessage="1" xr:uid="{AD7009D3-387C-4D70-AB92-DCF9816B640E}">
          <x14:formula1>
            <xm:f>DataValidation!$E$40:$E$43</xm:f>
          </x14:formula1>
          <xm:sqref>F4:F7</xm:sqref>
        </x14:dataValidation>
        <x14:dataValidation type="list" allowBlank="1" showInputMessage="1" showErrorMessage="1" xr:uid="{0003B3FB-9068-492B-9AFF-E48AC0426D81}">
          <x14:formula1>
            <xm:f>DataValidation!$A$93:$A$116</xm:f>
          </x14:formula1>
          <xm:sqref>C8:C37</xm:sqref>
        </x14:dataValidation>
        <x14:dataValidation type="list" allowBlank="1" showInputMessage="1" showErrorMessage="1" xr:uid="{49F33528-9F44-457F-91AA-584538CCF31F}">
          <x14:formula1>
            <xm:f>DataValidation!$E$40:$E$44</xm:f>
          </x14:formula1>
          <xm:sqref>F8:F37</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25B28A-550A-420F-91A1-0DBCCF400C03}">
  <sheetPr codeName="Sheet11">
    <tabColor theme="2" tint="-9.9978637043366805E-2"/>
    <pageSetUpPr fitToPage="1"/>
  </sheetPr>
  <dimension ref="A1:C40"/>
  <sheetViews>
    <sheetView zoomScale="89" zoomScaleNormal="89" workbookViewId="0">
      <selection activeCell="F10" sqref="F10"/>
    </sheetView>
  </sheetViews>
  <sheetFormatPr defaultColWidth="8.69921875" defaultRowHeight="12.55" x14ac:dyDescent="0.2"/>
  <cols>
    <col min="1" max="1" width="56.19921875" style="197" customWidth="1"/>
    <col min="2" max="2" width="45.09765625" style="196" customWidth="1"/>
    <col min="3" max="3" width="61.8984375" style="196" customWidth="1"/>
    <col min="4" max="16384" width="8.69921875" style="187"/>
  </cols>
  <sheetData>
    <row r="1" spans="1:3" x14ac:dyDescent="0.2">
      <c r="A1" s="185" t="s">
        <v>109</v>
      </c>
      <c r="B1" s="186" t="s">
        <v>110</v>
      </c>
      <c r="C1" s="186" t="s">
        <v>111</v>
      </c>
    </row>
    <row r="2" spans="1:3" ht="25.05" x14ac:dyDescent="0.2">
      <c r="A2" s="188" t="s">
        <v>112</v>
      </c>
      <c r="B2" s="189" t="s">
        <v>92</v>
      </c>
      <c r="C2" s="190" t="s">
        <v>95</v>
      </c>
    </row>
    <row r="3" spans="1:3" ht="37.6" x14ac:dyDescent="0.2">
      <c r="A3" s="188" t="s">
        <v>112</v>
      </c>
      <c r="B3" s="189" t="s">
        <v>97</v>
      </c>
      <c r="C3" s="190" t="s">
        <v>113</v>
      </c>
    </row>
    <row r="4" spans="1:3" ht="37.6" x14ac:dyDescent="0.2">
      <c r="A4" s="191" t="s">
        <v>114</v>
      </c>
      <c r="B4" s="192" t="s">
        <v>92</v>
      </c>
      <c r="C4" s="193" t="s">
        <v>115</v>
      </c>
    </row>
    <row r="5" spans="1:3" ht="37.6" x14ac:dyDescent="0.2">
      <c r="A5" s="191" t="s">
        <v>114</v>
      </c>
      <c r="B5" s="192" t="s">
        <v>97</v>
      </c>
      <c r="C5" s="193" t="s">
        <v>116</v>
      </c>
    </row>
    <row r="6" spans="1:3" x14ac:dyDescent="0.2">
      <c r="A6" s="188" t="s">
        <v>117</v>
      </c>
      <c r="B6" s="189" t="s">
        <v>118</v>
      </c>
      <c r="C6" s="190" t="s">
        <v>119</v>
      </c>
    </row>
    <row r="7" spans="1:3" x14ac:dyDescent="0.2">
      <c r="A7" s="188" t="s">
        <v>117</v>
      </c>
      <c r="B7" s="189" t="s">
        <v>120</v>
      </c>
      <c r="C7" s="190" t="s">
        <v>121</v>
      </c>
    </row>
    <row r="8" spans="1:3" ht="25.05" x14ac:dyDescent="0.2">
      <c r="A8" s="188" t="s">
        <v>117</v>
      </c>
      <c r="B8" s="189" t="s">
        <v>97</v>
      </c>
      <c r="C8" s="190" t="s">
        <v>122</v>
      </c>
    </row>
    <row r="9" spans="1:3" x14ac:dyDescent="0.2">
      <c r="A9" s="191" t="s">
        <v>123</v>
      </c>
      <c r="B9" s="192" t="s">
        <v>118</v>
      </c>
      <c r="C9" s="193" t="s">
        <v>119</v>
      </c>
    </row>
    <row r="10" spans="1:3" ht="25.05" x14ac:dyDescent="0.2">
      <c r="A10" s="191" t="s">
        <v>123</v>
      </c>
      <c r="B10" s="192" t="s">
        <v>124</v>
      </c>
      <c r="C10" s="144" t="s">
        <v>125</v>
      </c>
    </row>
    <row r="11" spans="1:3" ht="37.6" x14ac:dyDescent="0.2">
      <c r="A11" s="188" t="s">
        <v>126</v>
      </c>
      <c r="B11" s="189" t="s">
        <v>127</v>
      </c>
      <c r="C11" s="190" t="s">
        <v>128</v>
      </c>
    </row>
    <row r="12" spans="1:3" x14ac:dyDescent="0.2">
      <c r="A12" s="188" t="s">
        <v>126</v>
      </c>
      <c r="B12" s="189" t="s">
        <v>129</v>
      </c>
      <c r="C12" s="190" t="s">
        <v>130</v>
      </c>
    </row>
    <row r="13" spans="1:3" ht="25.05" x14ac:dyDescent="0.2">
      <c r="A13" s="188" t="s">
        <v>126</v>
      </c>
      <c r="B13" s="189" t="s">
        <v>100</v>
      </c>
      <c r="C13" s="190" t="s">
        <v>131</v>
      </c>
    </row>
    <row r="14" spans="1:3" ht="25.05" x14ac:dyDescent="0.2">
      <c r="A14" s="191" t="s">
        <v>132</v>
      </c>
      <c r="B14" s="192" t="s">
        <v>133</v>
      </c>
      <c r="C14" s="193" t="s">
        <v>134</v>
      </c>
    </row>
    <row r="15" spans="1:3" x14ac:dyDescent="0.2">
      <c r="A15" s="191" t="s">
        <v>132</v>
      </c>
      <c r="B15" s="192" t="s">
        <v>129</v>
      </c>
      <c r="C15" s="193" t="s">
        <v>130</v>
      </c>
    </row>
    <row r="16" spans="1:3" ht="25.05" x14ac:dyDescent="0.2">
      <c r="A16" s="191" t="s">
        <v>132</v>
      </c>
      <c r="B16" s="192" t="s">
        <v>100</v>
      </c>
      <c r="C16" s="193" t="s">
        <v>131</v>
      </c>
    </row>
    <row r="17" spans="1:3" x14ac:dyDescent="0.2">
      <c r="A17" s="188" t="s">
        <v>135</v>
      </c>
      <c r="B17" s="189" t="s">
        <v>136</v>
      </c>
      <c r="C17" s="190" t="s">
        <v>137</v>
      </c>
    </row>
    <row r="18" spans="1:3" x14ac:dyDescent="0.2">
      <c r="A18" s="188" t="s">
        <v>135</v>
      </c>
      <c r="B18" s="189" t="s">
        <v>129</v>
      </c>
      <c r="C18" s="190" t="s">
        <v>130</v>
      </c>
    </row>
    <row r="19" spans="1:3" x14ac:dyDescent="0.2">
      <c r="A19" s="191" t="s">
        <v>138</v>
      </c>
      <c r="B19" s="192" t="s">
        <v>139</v>
      </c>
      <c r="C19" s="193" t="s">
        <v>140</v>
      </c>
    </row>
    <row r="20" spans="1:3" x14ac:dyDescent="0.2">
      <c r="A20" s="191" t="s">
        <v>138</v>
      </c>
      <c r="B20" s="192" t="s">
        <v>120</v>
      </c>
      <c r="C20" s="193" t="s">
        <v>121</v>
      </c>
    </row>
    <row r="21" spans="1:3" x14ac:dyDescent="0.2">
      <c r="A21" s="191" t="s">
        <v>138</v>
      </c>
      <c r="B21" s="192" t="s">
        <v>129</v>
      </c>
      <c r="C21" s="193" t="s">
        <v>130</v>
      </c>
    </row>
    <row r="22" spans="1:3" x14ac:dyDescent="0.2">
      <c r="A22" s="191" t="s">
        <v>138</v>
      </c>
      <c r="B22" s="192" t="s">
        <v>141</v>
      </c>
      <c r="C22" s="193" t="s">
        <v>142</v>
      </c>
    </row>
    <row r="23" spans="1:3" ht="25.05" x14ac:dyDescent="0.2">
      <c r="A23" s="188" t="s">
        <v>143</v>
      </c>
      <c r="B23" s="189" t="s">
        <v>100</v>
      </c>
      <c r="C23" s="190" t="s">
        <v>131</v>
      </c>
    </row>
    <row r="24" spans="1:3" x14ac:dyDescent="0.2">
      <c r="A24" s="191" t="s">
        <v>144</v>
      </c>
      <c r="B24" s="192" t="s">
        <v>145</v>
      </c>
      <c r="C24" s="193" t="s">
        <v>146</v>
      </c>
    </row>
    <row r="25" spans="1:3" x14ac:dyDescent="0.2">
      <c r="A25" s="139" t="s">
        <v>147</v>
      </c>
      <c r="B25" s="140" t="s">
        <v>148</v>
      </c>
      <c r="C25" s="141" t="s">
        <v>149</v>
      </c>
    </row>
    <row r="26" spans="1:3" x14ac:dyDescent="0.2">
      <c r="A26" s="142" t="s">
        <v>150</v>
      </c>
      <c r="B26" s="143" t="s">
        <v>151</v>
      </c>
      <c r="C26" s="144" t="s">
        <v>152</v>
      </c>
    </row>
    <row r="27" spans="1:3" ht="25.05" x14ac:dyDescent="0.2">
      <c r="A27" s="142" t="s">
        <v>150</v>
      </c>
      <c r="B27" s="143" t="s">
        <v>153</v>
      </c>
      <c r="C27" s="144" t="s">
        <v>154</v>
      </c>
    </row>
    <row r="28" spans="1:3" x14ac:dyDescent="0.2">
      <c r="A28" s="142" t="s">
        <v>150</v>
      </c>
      <c r="B28" s="143" t="s">
        <v>155</v>
      </c>
      <c r="C28" s="144" t="s">
        <v>156</v>
      </c>
    </row>
    <row r="29" spans="1:3" x14ac:dyDescent="0.2">
      <c r="A29" s="145" t="s">
        <v>157</v>
      </c>
      <c r="B29" s="140" t="s">
        <v>158</v>
      </c>
      <c r="C29" s="141" t="s">
        <v>159</v>
      </c>
    </row>
    <row r="30" spans="1:3" ht="25.05" x14ac:dyDescent="0.2">
      <c r="A30" s="145" t="s">
        <v>157</v>
      </c>
      <c r="B30" s="140" t="s">
        <v>153</v>
      </c>
      <c r="C30" s="141" t="s">
        <v>160</v>
      </c>
    </row>
    <row r="31" spans="1:3" x14ac:dyDescent="0.2">
      <c r="A31" s="145" t="s">
        <v>157</v>
      </c>
      <c r="B31" s="140" t="s">
        <v>155</v>
      </c>
      <c r="C31" s="141" t="s">
        <v>161</v>
      </c>
    </row>
    <row r="32" spans="1:3" x14ac:dyDescent="0.2">
      <c r="A32" s="142" t="s">
        <v>162</v>
      </c>
      <c r="B32" s="143" t="s">
        <v>163</v>
      </c>
      <c r="C32" s="144" t="s">
        <v>164</v>
      </c>
    </row>
    <row r="33" spans="1:3" x14ac:dyDescent="0.2">
      <c r="A33" s="142" t="s">
        <v>162</v>
      </c>
      <c r="B33" s="143" t="s">
        <v>165</v>
      </c>
      <c r="C33" s="144" t="s">
        <v>166</v>
      </c>
    </row>
    <row r="34" spans="1:3" ht="25.05" x14ac:dyDescent="0.2">
      <c r="A34" s="145" t="s">
        <v>167</v>
      </c>
      <c r="B34" s="140" t="s">
        <v>168</v>
      </c>
      <c r="C34" s="141" t="s">
        <v>169</v>
      </c>
    </row>
    <row r="35" spans="1:3" x14ac:dyDescent="0.2">
      <c r="A35" s="145" t="s">
        <v>167</v>
      </c>
      <c r="B35" s="140" t="s">
        <v>170</v>
      </c>
      <c r="C35" s="141" t="s">
        <v>171</v>
      </c>
    </row>
    <row r="36" spans="1:3" ht="25.05" x14ac:dyDescent="0.2">
      <c r="A36" s="191" t="s">
        <v>172</v>
      </c>
      <c r="B36" s="192" t="s">
        <v>173</v>
      </c>
      <c r="C36" s="193" t="s">
        <v>174</v>
      </c>
    </row>
    <row r="37" spans="1:3" x14ac:dyDescent="0.2">
      <c r="A37" s="188" t="s">
        <v>175</v>
      </c>
      <c r="B37" s="189" t="s">
        <v>176</v>
      </c>
      <c r="C37" s="190" t="s">
        <v>177</v>
      </c>
    </row>
    <row r="38" spans="1:3" ht="25.05" x14ac:dyDescent="0.2">
      <c r="A38" s="146" t="s">
        <v>178</v>
      </c>
      <c r="B38" s="147" t="s">
        <v>179</v>
      </c>
      <c r="C38" s="147" t="s">
        <v>180</v>
      </c>
    </row>
    <row r="39" spans="1:3" x14ac:dyDescent="0.2">
      <c r="A39" s="194"/>
      <c r="B39" s="195"/>
      <c r="C39" s="195"/>
    </row>
    <row r="40" spans="1:3" x14ac:dyDescent="0.2">
      <c r="A40" s="194"/>
      <c r="C40" s="195"/>
    </row>
  </sheetData>
  <sheetProtection autoFilter="0"/>
  <pageMargins left="0.25" right="0.25" top="0.75" bottom="0.75" header="0.3" footer="0.3"/>
  <pageSetup paperSize="9" scale="87" fitToHeight="0" orientation="landscape"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1E0787-0989-4742-8757-AED96144B599}">
  <sheetPr codeName="Sheet6">
    <tabColor theme="9" tint="0.39997558519241921"/>
  </sheetPr>
  <dimension ref="A1:X43"/>
  <sheetViews>
    <sheetView showGridLines="0" zoomScale="85" zoomScaleNormal="85" zoomScaleSheetLayoutView="40" zoomScalePageLayoutView="55" workbookViewId="0">
      <pane ySplit="1" topLeftCell="A23" activePane="bottomLeft" state="frozen"/>
      <selection pane="bottomLeft" activeCell="I24" sqref="I24"/>
    </sheetView>
  </sheetViews>
  <sheetFormatPr defaultColWidth="9.09765625" defaultRowHeight="12.55" x14ac:dyDescent="0.2"/>
  <cols>
    <col min="1" max="1" width="10.19921875" style="241" customWidth="1"/>
    <col min="2" max="5" width="9.19921875" style="209" customWidth="1"/>
    <col min="6" max="7" width="15.19921875" style="268" customWidth="1"/>
    <col min="8" max="8" width="18.19921875" style="209" customWidth="1"/>
    <col min="9" max="9" width="50.19921875" style="269" customWidth="1"/>
    <col min="10" max="10" width="20.19921875" style="209" customWidth="1"/>
    <col min="11" max="11" width="120.19921875" style="241" customWidth="1"/>
    <col min="12" max="12" width="18.69921875" style="209" customWidth="1"/>
    <col min="13" max="13" width="48.09765625" style="241" customWidth="1"/>
    <col min="14" max="14" width="34.19921875" style="270" customWidth="1"/>
    <col min="15" max="15" width="50.19921875" style="241" bestFit="1" customWidth="1"/>
    <col min="16" max="16" width="44.8984375" style="241" bestFit="1" customWidth="1"/>
    <col min="17" max="17" width="51.19921875" style="241" bestFit="1" customWidth="1"/>
    <col min="18" max="18" width="47.69921875" style="241" bestFit="1" customWidth="1"/>
    <col min="19" max="19" width="55.19921875" style="241" bestFit="1" customWidth="1"/>
    <col min="20" max="22" width="2.09765625" style="32" hidden="1" customWidth="1"/>
    <col min="23" max="24" width="9.09765625" style="32" hidden="1" customWidth="1"/>
    <col min="25" max="26" width="9.09765625" style="241" customWidth="1"/>
    <col min="27" max="16375" width="9.09765625" style="241"/>
    <col min="16376" max="16383" width="9.09765625" style="241" bestFit="1"/>
    <col min="16384" max="16384" width="9.09765625" style="241"/>
  </cols>
  <sheetData>
    <row r="1" spans="1:24" s="209" customFormat="1" ht="60.3" customHeight="1" x14ac:dyDescent="0.2">
      <c r="A1" s="198" t="s">
        <v>181</v>
      </c>
      <c r="B1" s="199" t="s">
        <v>182</v>
      </c>
      <c r="C1" s="200" t="s">
        <v>183</v>
      </c>
      <c r="D1" s="201" t="s">
        <v>184</v>
      </c>
      <c r="E1" s="202" t="s">
        <v>185</v>
      </c>
      <c r="F1" s="198" t="s">
        <v>186</v>
      </c>
      <c r="G1" s="203" t="s">
        <v>187</v>
      </c>
      <c r="H1" s="204" t="s">
        <v>188</v>
      </c>
      <c r="I1" s="205" t="s">
        <v>189</v>
      </c>
      <c r="J1" s="206" t="s">
        <v>190</v>
      </c>
      <c r="K1" s="206" t="s">
        <v>191</v>
      </c>
      <c r="L1" s="206" t="s">
        <v>192</v>
      </c>
      <c r="M1" s="206" t="s">
        <v>111</v>
      </c>
      <c r="N1" s="205" t="s">
        <v>193</v>
      </c>
      <c r="O1" s="207" t="s">
        <v>194</v>
      </c>
      <c r="P1" s="207" t="s">
        <v>195</v>
      </c>
      <c r="Q1" s="208" t="s">
        <v>196</v>
      </c>
      <c r="R1" s="208" t="s">
        <v>197</v>
      </c>
      <c r="S1" s="208" t="s">
        <v>198</v>
      </c>
      <c r="T1" s="29"/>
      <c r="U1" s="29"/>
      <c r="V1" s="29"/>
      <c r="W1" s="29"/>
      <c r="X1" s="29"/>
    </row>
    <row r="2" spans="1:24" s="33" customFormat="1" x14ac:dyDescent="0.2">
      <c r="A2" s="41"/>
      <c r="B2" s="41"/>
      <c r="C2" s="41"/>
      <c r="D2" s="41"/>
      <c r="E2" s="44"/>
      <c r="F2" s="30" t="s">
        <v>199</v>
      </c>
      <c r="G2" s="45"/>
      <c r="H2" s="46"/>
      <c r="I2" s="47"/>
      <c r="J2" s="41"/>
      <c r="K2" s="41"/>
      <c r="L2" s="34"/>
      <c r="M2" s="41"/>
      <c r="N2" s="47"/>
      <c r="O2" s="31" t="s">
        <v>200</v>
      </c>
      <c r="P2" s="31" t="s">
        <v>201</v>
      </c>
      <c r="Q2" s="31" t="s">
        <v>202</v>
      </c>
      <c r="R2" s="48" t="s">
        <v>203</v>
      </c>
      <c r="S2" s="31" t="s">
        <v>204</v>
      </c>
    </row>
    <row r="3" spans="1:24" s="43" customFormat="1" x14ac:dyDescent="0.2">
      <c r="A3" s="42"/>
      <c r="B3" s="42"/>
      <c r="C3" s="42"/>
      <c r="D3" s="42"/>
      <c r="E3" s="49"/>
      <c r="F3" s="36" t="s">
        <v>205</v>
      </c>
      <c r="G3" s="50"/>
      <c r="H3" s="51"/>
      <c r="I3" s="52"/>
      <c r="J3" s="42"/>
      <c r="K3" s="42"/>
      <c r="L3" s="35"/>
      <c r="M3" s="42"/>
      <c r="N3" s="52"/>
      <c r="O3" s="42"/>
      <c r="P3" s="42"/>
      <c r="Q3" s="53"/>
      <c r="R3" s="53"/>
      <c r="S3" s="42"/>
    </row>
    <row r="4" spans="1:24" s="59" customFormat="1" x14ac:dyDescent="0.2">
      <c r="A4" s="54"/>
      <c r="B4" s="54"/>
      <c r="C4" s="54"/>
      <c r="D4" s="54"/>
      <c r="E4" s="55"/>
      <c r="F4" s="38" t="s">
        <v>206</v>
      </c>
      <c r="G4" s="39"/>
      <c r="H4" s="40"/>
      <c r="I4" s="56"/>
      <c r="J4" s="54"/>
      <c r="K4" s="54"/>
      <c r="L4" s="37"/>
      <c r="M4" s="54"/>
      <c r="N4" s="56"/>
      <c r="O4" s="57"/>
      <c r="P4" s="57"/>
      <c r="Q4" s="57"/>
      <c r="R4" s="58"/>
      <c r="S4" s="57"/>
    </row>
    <row r="5" spans="1:24" ht="100.2" x14ac:dyDescent="0.2">
      <c r="A5" s="210" t="s">
        <v>207</v>
      </c>
      <c r="B5" s="210" t="s">
        <v>208</v>
      </c>
      <c r="C5" s="210" t="s">
        <v>208</v>
      </c>
      <c r="D5" s="210" t="s">
        <v>208</v>
      </c>
      <c r="E5" s="211"/>
      <c r="F5" s="212" t="s">
        <v>209</v>
      </c>
      <c r="G5" s="212">
        <v>1</v>
      </c>
      <c r="H5" s="213" t="s">
        <v>210</v>
      </c>
      <c r="I5" s="214" t="s">
        <v>211</v>
      </c>
      <c r="J5" s="215" t="s">
        <v>182</v>
      </c>
      <c r="K5" s="216" t="s">
        <v>212</v>
      </c>
      <c r="L5" s="274"/>
      <c r="M5" s="216" t="str">
        <f>IFERROR(IF(N5="Maturity",HLOOKUP(L5,$O$2:$S$200,ROW()-1,0),"N/A"),"")</f>
        <v>N/A</v>
      </c>
      <c r="N5" s="215" t="s">
        <v>213</v>
      </c>
      <c r="O5" s="216" t="s">
        <v>214</v>
      </c>
      <c r="P5" s="216" t="s">
        <v>214</v>
      </c>
      <c r="Q5" s="216" t="s">
        <v>214</v>
      </c>
      <c r="R5" s="216" t="s">
        <v>214</v>
      </c>
      <c r="S5" s="216" t="s">
        <v>214</v>
      </c>
      <c r="T5" s="29">
        <f t="shared" ref="T5:T39" si="0">IF(OR(L5="Yes",L5="M3",L5="M4",L5="M5"),3,IF(OR(L5="Partial",L5="M2"),2,IF(L5="N/A",0,1)))</f>
        <v>1</v>
      </c>
      <c r="U5" s="32">
        <f t="shared" ref="U5:U39" si="1">IF(L5="M4",1,IF(L5="M5",2,0))</f>
        <v>0</v>
      </c>
      <c r="V5" s="32">
        <f>T5+U5</f>
        <v>1</v>
      </c>
      <c r="W5" s="32">
        <f>IF(ISBLANK(L5),1,0)</f>
        <v>1</v>
      </c>
    </row>
    <row r="6" spans="1:24" ht="137.30000000000001" customHeight="1" x14ac:dyDescent="0.2">
      <c r="A6" s="210" t="s">
        <v>215</v>
      </c>
      <c r="B6" s="210" t="s">
        <v>208</v>
      </c>
      <c r="C6" s="210" t="s">
        <v>208</v>
      </c>
      <c r="D6" s="210" t="s">
        <v>208</v>
      </c>
      <c r="E6" s="217"/>
      <c r="F6" s="212">
        <v>1.1000000000000001</v>
      </c>
      <c r="G6" s="212">
        <v>2</v>
      </c>
      <c r="H6" s="213" t="s">
        <v>216</v>
      </c>
      <c r="I6" s="214" t="s">
        <v>217</v>
      </c>
      <c r="J6" s="210" t="s">
        <v>182</v>
      </c>
      <c r="K6" s="216" t="s">
        <v>218</v>
      </c>
      <c r="L6" s="274"/>
      <c r="M6" s="216" t="str">
        <f>IFERROR(IF(N6="Maturity",HLOOKUP(L6,$O$2:$S$200,ROW()-1,0),"N/A"),"")</f>
        <v/>
      </c>
      <c r="N6" s="215" t="s">
        <v>219</v>
      </c>
      <c r="O6" s="216" t="s">
        <v>220</v>
      </c>
      <c r="P6" s="216" t="s">
        <v>221</v>
      </c>
      <c r="Q6" s="216" t="s">
        <v>222</v>
      </c>
      <c r="R6" s="218" t="s">
        <v>223</v>
      </c>
      <c r="S6" s="218" t="s">
        <v>224</v>
      </c>
      <c r="T6" s="29">
        <f t="shared" si="0"/>
        <v>1</v>
      </c>
      <c r="U6" s="32">
        <f t="shared" si="1"/>
        <v>0</v>
      </c>
      <c r="V6" s="32">
        <f t="shared" ref="V6:V39" si="2">T6+U6</f>
        <v>1</v>
      </c>
      <c r="W6" s="32">
        <f t="shared" ref="W6:W39" si="3">IF(ISBLANK(L6),1,0)</f>
        <v>1</v>
      </c>
    </row>
    <row r="7" spans="1:24" ht="100.2" x14ac:dyDescent="0.2">
      <c r="A7" s="210" t="s">
        <v>225</v>
      </c>
      <c r="B7" s="210" t="s">
        <v>208</v>
      </c>
      <c r="C7" s="210" t="s">
        <v>208</v>
      </c>
      <c r="D7" s="210" t="s">
        <v>208</v>
      </c>
      <c r="E7" s="217"/>
      <c r="F7" s="212">
        <v>1.2</v>
      </c>
      <c r="G7" s="212">
        <v>1</v>
      </c>
      <c r="H7" s="213" t="s">
        <v>226</v>
      </c>
      <c r="I7" s="219" t="s">
        <v>227</v>
      </c>
      <c r="J7" s="220" t="s">
        <v>183</v>
      </c>
      <c r="K7" s="221" t="s">
        <v>228</v>
      </c>
      <c r="L7" s="274"/>
      <c r="M7" s="216" t="str">
        <f>IFERROR(IF(N7="Maturity",HLOOKUP(L7,$O$2:$S$200,ROW()-1,0),"N/A"),"")</f>
        <v/>
      </c>
      <c r="N7" s="215" t="s">
        <v>219</v>
      </c>
      <c r="O7" s="216" t="s">
        <v>229</v>
      </c>
      <c r="P7" s="216" t="s">
        <v>230</v>
      </c>
      <c r="Q7" s="216" t="s">
        <v>231</v>
      </c>
      <c r="R7" s="218" t="s">
        <v>232</v>
      </c>
      <c r="S7" s="218" t="s">
        <v>233</v>
      </c>
      <c r="T7" s="29">
        <f t="shared" si="0"/>
        <v>1</v>
      </c>
      <c r="U7" s="32">
        <f t="shared" si="1"/>
        <v>0</v>
      </c>
      <c r="V7" s="32">
        <f t="shared" si="2"/>
        <v>1</v>
      </c>
      <c r="W7" s="32">
        <f t="shared" si="3"/>
        <v>1</v>
      </c>
    </row>
    <row r="8" spans="1:24" ht="25.05" x14ac:dyDescent="0.2">
      <c r="A8" s="210" t="s">
        <v>234</v>
      </c>
      <c r="B8" s="210" t="s">
        <v>208</v>
      </c>
      <c r="C8" s="210" t="s">
        <v>208</v>
      </c>
      <c r="D8" s="210" t="s">
        <v>208</v>
      </c>
      <c r="E8" s="217"/>
      <c r="F8" s="212">
        <v>1.3</v>
      </c>
      <c r="G8" s="212"/>
      <c r="H8" s="213">
        <v>1.3</v>
      </c>
      <c r="I8" s="222" t="s">
        <v>235</v>
      </c>
      <c r="J8" s="223"/>
      <c r="K8" s="224"/>
      <c r="L8" s="225"/>
      <c r="M8" s="225"/>
      <c r="N8" s="226"/>
      <c r="O8" s="227"/>
      <c r="P8" s="227"/>
      <c r="Q8" s="227"/>
      <c r="R8" s="228"/>
      <c r="S8" s="228"/>
      <c r="T8" s="29">
        <f t="shared" si="0"/>
        <v>1</v>
      </c>
      <c r="U8" s="32">
        <f t="shared" si="1"/>
        <v>0</v>
      </c>
      <c r="V8" s="32">
        <f t="shared" si="2"/>
        <v>1</v>
      </c>
      <c r="W8" s="32">
        <f t="shared" si="3"/>
        <v>1</v>
      </c>
    </row>
    <row r="9" spans="1:24" ht="25.05" x14ac:dyDescent="0.2">
      <c r="A9" s="210" t="s">
        <v>236</v>
      </c>
      <c r="B9" s="210" t="s">
        <v>208</v>
      </c>
      <c r="C9" s="210" t="s">
        <v>208</v>
      </c>
      <c r="D9" s="210" t="s">
        <v>208</v>
      </c>
      <c r="E9" s="217"/>
      <c r="F9" s="212">
        <v>1.4</v>
      </c>
      <c r="G9" s="212"/>
      <c r="H9" s="213">
        <v>1.4</v>
      </c>
      <c r="I9" s="222" t="s">
        <v>237</v>
      </c>
      <c r="J9" s="223"/>
      <c r="K9" s="229"/>
      <c r="L9" s="225"/>
      <c r="M9" s="225"/>
      <c r="N9" s="226"/>
      <c r="O9" s="230"/>
      <c r="P9" s="230"/>
      <c r="Q9" s="230"/>
      <c r="R9" s="231"/>
      <c r="S9" s="232"/>
      <c r="T9" s="29">
        <f t="shared" si="0"/>
        <v>1</v>
      </c>
      <c r="U9" s="32">
        <f t="shared" si="1"/>
        <v>0</v>
      </c>
      <c r="V9" s="32">
        <f t="shared" si="2"/>
        <v>1</v>
      </c>
      <c r="W9" s="32">
        <f t="shared" si="3"/>
        <v>1</v>
      </c>
    </row>
    <row r="10" spans="1:24" ht="153.55000000000001" customHeight="1" x14ac:dyDescent="0.2">
      <c r="A10" s="210" t="s">
        <v>238</v>
      </c>
      <c r="B10" s="210" t="s">
        <v>208</v>
      </c>
      <c r="C10" s="210" t="s">
        <v>208</v>
      </c>
      <c r="D10" s="210" t="s">
        <v>208</v>
      </c>
      <c r="E10" s="217"/>
      <c r="F10" s="212" t="s">
        <v>239</v>
      </c>
      <c r="G10" s="242" t="s">
        <v>240</v>
      </c>
      <c r="H10" s="213" t="s">
        <v>241</v>
      </c>
      <c r="I10" s="219" t="s">
        <v>242</v>
      </c>
      <c r="J10" s="233" t="s">
        <v>183</v>
      </c>
      <c r="K10" s="218" t="s">
        <v>243</v>
      </c>
      <c r="L10" s="274"/>
      <c r="M10" s="216" t="str">
        <f>IFERROR(IF(N10="Maturity",HLOOKUP(L10,$O$2:$S$200,ROW()-1,0),"N/A"),"")</f>
        <v/>
      </c>
      <c r="N10" s="215" t="s">
        <v>219</v>
      </c>
      <c r="O10" s="234" t="s">
        <v>244</v>
      </c>
      <c r="P10" s="234" t="s">
        <v>245</v>
      </c>
      <c r="Q10" s="234" t="s">
        <v>246</v>
      </c>
      <c r="R10" s="235" t="s">
        <v>247</v>
      </c>
      <c r="S10" s="216" t="s">
        <v>248</v>
      </c>
      <c r="T10" s="29">
        <f t="shared" si="0"/>
        <v>1</v>
      </c>
      <c r="U10" s="32">
        <f t="shared" si="1"/>
        <v>0</v>
      </c>
      <c r="V10" s="32">
        <f t="shared" si="2"/>
        <v>1</v>
      </c>
      <c r="W10" s="32">
        <f t="shared" si="3"/>
        <v>1</v>
      </c>
    </row>
    <row r="11" spans="1:24" ht="247.95" customHeight="1" x14ac:dyDescent="0.2">
      <c r="A11" s="210" t="s">
        <v>249</v>
      </c>
      <c r="B11" s="210" t="s">
        <v>208</v>
      </c>
      <c r="C11" s="210" t="s">
        <v>208</v>
      </c>
      <c r="D11" s="210" t="s">
        <v>208</v>
      </c>
      <c r="E11" s="217"/>
      <c r="F11" s="212">
        <v>1.6</v>
      </c>
      <c r="G11" s="212" t="s">
        <v>250</v>
      </c>
      <c r="H11" s="213" t="s">
        <v>251</v>
      </c>
      <c r="I11" s="236" t="s">
        <v>252</v>
      </c>
      <c r="J11" s="237" t="s">
        <v>183</v>
      </c>
      <c r="K11" s="238" t="s">
        <v>253</v>
      </c>
      <c r="L11" s="274"/>
      <c r="M11" s="216" t="str">
        <f>IFERROR(IF(N5="Maturity",HLOOKUP(L5,$O$2:$S$200,ROW()-1,0),"N/A"),"")</f>
        <v>N/A</v>
      </c>
      <c r="N11" s="239" t="s">
        <v>213</v>
      </c>
      <c r="O11" s="216" t="s">
        <v>214</v>
      </c>
      <c r="P11" s="216" t="s">
        <v>214</v>
      </c>
      <c r="Q11" s="216" t="s">
        <v>214</v>
      </c>
      <c r="R11" s="216" t="s">
        <v>214</v>
      </c>
      <c r="S11" s="240" t="s">
        <v>214</v>
      </c>
      <c r="T11" s="29">
        <f t="shared" si="0"/>
        <v>1</v>
      </c>
      <c r="U11" s="32">
        <f t="shared" si="1"/>
        <v>0</v>
      </c>
      <c r="V11" s="32">
        <f t="shared" si="2"/>
        <v>1</v>
      </c>
      <c r="W11" s="32">
        <f t="shared" si="3"/>
        <v>1</v>
      </c>
    </row>
    <row r="12" spans="1:24" s="43" customFormat="1" x14ac:dyDescent="0.2">
      <c r="A12" s="42"/>
      <c r="B12" s="42"/>
      <c r="C12" s="42"/>
      <c r="D12" s="42"/>
      <c r="E12" s="49"/>
      <c r="F12" s="36" t="s">
        <v>254</v>
      </c>
      <c r="G12" s="50"/>
      <c r="H12" s="51"/>
      <c r="I12" s="52"/>
      <c r="J12" s="60"/>
      <c r="K12" s="42"/>
      <c r="L12" s="63"/>
      <c r="M12" s="42"/>
      <c r="N12" s="52"/>
      <c r="O12" s="42"/>
      <c r="P12" s="42"/>
      <c r="Q12" s="53"/>
      <c r="R12" s="53"/>
      <c r="S12" s="42"/>
      <c r="T12" s="29">
        <f t="shared" si="0"/>
        <v>1</v>
      </c>
      <c r="U12" s="32">
        <f t="shared" si="1"/>
        <v>0</v>
      </c>
      <c r="V12" s="32">
        <f t="shared" si="2"/>
        <v>1</v>
      </c>
      <c r="W12" s="32"/>
    </row>
    <row r="13" spans="1:24" s="59" customFormat="1" x14ac:dyDescent="0.2">
      <c r="A13" s="54"/>
      <c r="B13" s="54"/>
      <c r="C13" s="54"/>
      <c r="D13" s="54"/>
      <c r="E13" s="55"/>
      <c r="F13" s="38" t="s">
        <v>255</v>
      </c>
      <c r="G13" s="39"/>
      <c r="H13" s="40"/>
      <c r="I13" s="56"/>
      <c r="J13" s="54"/>
      <c r="K13" s="54"/>
      <c r="L13" s="2"/>
      <c r="M13" s="54"/>
      <c r="N13" s="56"/>
      <c r="O13" s="57"/>
      <c r="P13" s="57"/>
      <c r="Q13" s="57"/>
      <c r="R13" s="58"/>
      <c r="S13" s="57"/>
      <c r="T13" s="29">
        <f t="shared" si="0"/>
        <v>1</v>
      </c>
      <c r="U13" s="32">
        <f t="shared" si="1"/>
        <v>0</v>
      </c>
      <c r="V13" s="32">
        <f t="shared" si="2"/>
        <v>1</v>
      </c>
      <c r="W13" s="32"/>
    </row>
    <row r="14" spans="1:24" ht="100.2" x14ac:dyDescent="0.2">
      <c r="A14" s="210" t="s">
        <v>256</v>
      </c>
      <c r="B14" s="210" t="s">
        <v>208</v>
      </c>
      <c r="C14" s="210" t="s">
        <v>208</v>
      </c>
      <c r="D14" s="210" t="s">
        <v>208</v>
      </c>
      <c r="E14" s="217"/>
      <c r="F14" s="242" t="s">
        <v>257</v>
      </c>
      <c r="G14" s="242" t="s">
        <v>240</v>
      </c>
      <c r="H14" s="243" t="s">
        <v>258</v>
      </c>
      <c r="I14" s="219" t="s">
        <v>259</v>
      </c>
      <c r="J14" s="220" t="s">
        <v>183</v>
      </c>
      <c r="K14" s="244" t="s">
        <v>260</v>
      </c>
      <c r="L14" s="274"/>
      <c r="M14" s="216" t="str">
        <f>IFERROR(IF(N5="Maturity",HLOOKUP(L5,$O$2:$S$200,ROW()-1,0),"N/A"),"")</f>
        <v>N/A</v>
      </c>
      <c r="N14" s="215" t="s">
        <v>213</v>
      </c>
      <c r="O14" s="216" t="s">
        <v>214</v>
      </c>
      <c r="P14" s="216" t="s">
        <v>214</v>
      </c>
      <c r="Q14" s="216" t="s">
        <v>214</v>
      </c>
      <c r="R14" s="216" t="s">
        <v>214</v>
      </c>
      <c r="S14" s="216" t="s">
        <v>214</v>
      </c>
      <c r="T14" s="29">
        <f t="shared" si="0"/>
        <v>1</v>
      </c>
      <c r="U14" s="32">
        <f t="shared" si="1"/>
        <v>0</v>
      </c>
      <c r="V14" s="32">
        <f t="shared" si="2"/>
        <v>1</v>
      </c>
      <c r="W14" s="32">
        <f t="shared" si="3"/>
        <v>1</v>
      </c>
    </row>
    <row r="15" spans="1:24" ht="98.3" customHeight="1" x14ac:dyDescent="0.2">
      <c r="A15" s="210" t="s">
        <v>261</v>
      </c>
      <c r="B15" s="210" t="s">
        <v>208</v>
      </c>
      <c r="C15" s="245"/>
      <c r="D15" s="210"/>
      <c r="E15" s="217"/>
      <c r="F15" s="246" t="s">
        <v>257</v>
      </c>
      <c r="G15" s="246" t="s">
        <v>262</v>
      </c>
      <c r="H15" s="247" t="s">
        <v>263</v>
      </c>
      <c r="I15" s="248" t="s">
        <v>264</v>
      </c>
      <c r="J15" s="220" t="s">
        <v>183</v>
      </c>
      <c r="K15" s="219" t="s">
        <v>265</v>
      </c>
      <c r="L15" s="274"/>
      <c r="M15" s="216" t="str">
        <f>IFERROR(IF(N5="Maturity",HLOOKUP(L5,$O$2:$S$200,ROW()-1,0),"N/A"),"")</f>
        <v>N/A</v>
      </c>
      <c r="N15" s="215" t="s">
        <v>213</v>
      </c>
      <c r="O15" s="216" t="s">
        <v>214</v>
      </c>
      <c r="P15" s="216" t="s">
        <v>214</v>
      </c>
      <c r="Q15" s="216" t="s">
        <v>214</v>
      </c>
      <c r="R15" s="216" t="s">
        <v>214</v>
      </c>
      <c r="S15" s="216" t="s">
        <v>214</v>
      </c>
      <c r="T15" s="29">
        <f t="shared" si="0"/>
        <v>1</v>
      </c>
      <c r="U15" s="32">
        <f t="shared" si="1"/>
        <v>0</v>
      </c>
      <c r="V15" s="32">
        <f t="shared" si="2"/>
        <v>1</v>
      </c>
      <c r="W15" s="32">
        <f t="shared" si="3"/>
        <v>1</v>
      </c>
    </row>
    <row r="16" spans="1:24" ht="150.30000000000001" x14ac:dyDescent="0.2">
      <c r="A16" s="210" t="s">
        <v>266</v>
      </c>
      <c r="B16" s="210" t="s">
        <v>208</v>
      </c>
      <c r="C16" s="245"/>
      <c r="D16" s="210"/>
      <c r="E16" s="217"/>
      <c r="F16" s="246" t="s">
        <v>257</v>
      </c>
      <c r="G16" s="246" t="s">
        <v>267</v>
      </c>
      <c r="H16" s="247" t="s">
        <v>268</v>
      </c>
      <c r="I16" s="248" t="s">
        <v>269</v>
      </c>
      <c r="J16" s="249" t="s">
        <v>183</v>
      </c>
      <c r="K16" s="240" t="s">
        <v>270</v>
      </c>
      <c r="L16" s="274"/>
      <c r="M16" s="216" t="str">
        <f>IFERROR(IF(N5="Maturity",HLOOKUP(L5,$O$2:$S$200,ROW()-1,0),"N/A"),"")</f>
        <v>N/A</v>
      </c>
      <c r="N16" s="250" t="s">
        <v>213</v>
      </c>
      <c r="O16" s="240" t="s">
        <v>214</v>
      </c>
      <c r="P16" s="240" t="s">
        <v>214</v>
      </c>
      <c r="Q16" s="240" t="s">
        <v>214</v>
      </c>
      <c r="R16" s="240" t="s">
        <v>214</v>
      </c>
      <c r="S16" s="216" t="s">
        <v>214</v>
      </c>
      <c r="T16" s="29">
        <f t="shared" si="0"/>
        <v>1</v>
      </c>
      <c r="U16" s="32">
        <f t="shared" si="1"/>
        <v>0</v>
      </c>
      <c r="V16" s="32">
        <f t="shared" si="2"/>
        <v>1</v>
      </c>
      <c r="W16" s="32">
        <f t="shared" si="3"/>
        <v>1</v>
      </c>
    </row>
    <row r="17" spans="1:23" ht="112.7" x14ac:dyDescent="0.2">
      <c r="A17" s="210" t="s">
        <v>271</v>
      </c>
      <c r="B17" s="210" t="s">
        <v>208</v>
      </c>
      <c r="C17" s="245"/>
      <c r="D17" s="210"/>
      <c r="E17" s="217"/>
      <c r="F17" s="246" t="s">
        <v>257</v>
      </c>
      <c r="G17" s="246" t="s">
        <v>272</v>
      </c>
      <c r="H17" s="247" t="s">
        <v>273</v>
      </c>
      <c r="I17" s="248" t="s">
        <v>274</v>
      </c>
      <c r="J17" s="220" t="s">
        <v>183</v>
      </c>
      <c r="K17" s="216" t="s">
        <v>275</v>
      </c>
      <c r="L17" s="274"/>
      <c r="M17" s="216" t="str">
        <f>IFERROR(IF(N5="Maturity",HLOOKUP(L5,$O$2:$S$200,ROW()-1,0),"N/A"),"")</f>
        <v>N/A</v>
      </c>
      <c r="N17" s="215" t="s">
        <v>213</v>
      </c>
      <c r="O17" s="216" t="s">
        <v>214</v>
      </c>
      <c r="P17" s="216" t="s">
        <v>214</v>
      </c>
      <c r="Q17" s="216" t="s">
        <v>214</v>
      </c>
      <c r="R17" s="216" t="s">
        <v>214</v>
      </c>
      <c r="S17" s="216" t="s">
        <v>214</v>
      </c>
      <c r="T17" s="29">
        <f t="shared" si="0"/>
        <v>1</v>
      </c>
      <c r="U17" s="32">
        <f t="shared" si="1"/>
        <v>0</v>
      </c>
      <c r="V17" s="32">
        <f t="shared" si="2"/>
        <v>1</v>
      </c>
      <c r="W17" s="32">
        <f t="shared" si="3"/>
        <v>1</v>
      </c>
    </row>
    <row r="18" spans="1:23" s="59" customFormat="1" x14ac:dyDescent="0.2">
      <c r="A18" s="54"/>
      <c r="B18" s="54"/>
      <c r="C18" s="54"/>
      <c r="D18" s="54"/>
      <c r="E18" s="55"/>
      <c r="F18" s="38" t="s">
        <v>276</v>
      </c>
      <c r="G18" s="61"/>
      <c r="H18" s="62"/>
      <c r="I18" s="56"/>
      <c r="J18" s="54"/>
      <c r="K18" s="54"/>
      <c r="L18" s="2"/>
      <c r="M18" s="54"/>
      <c r="N18" s="56"/>
      <c r="O18" s="57"/>
      <c r="P18" s="57"/>
      <c r="Q18" s="57"/>
      <c r="R18" s="58"/>
      <c r="S18" s="57"/>
      <c r="T18" s="29">
        <f t="shared" si="0"/>
        <v>1</v>
      </c>
      <c r="U18" s="32">
        <f t="shared" si="1"/>
        <v>0</v>
      </c>
      <c r="V18" s="32">
        <f t="shared" si="2"/>
        <v>1</v>
      </c>
    </row>
    <row r="19" spans="1:23" ht="50.1" x14ac:dyDescent="0.2">
      <c r="A19" s="210" t="s">
        <v>277</v>
      </c>
      <c r="B19" s="210" t="s">
        <v>208</v>
      </c>
      <c r="C19" s="210" t="s">
        <v>208</v>
      </c>
      <c r="D19" s="210" t="s">
        <v>208</v>
      </c>
      <c r="E19" s="217"/>
      <c r="F19" s="242" t="s">
        <v>278</v>
      </c>
      <c r="G19" s="251"/>
      <c r="H19" s="243" t="s">
        <v>278</v>
      </c>
      <c r="I19" s="216" t="s">
        <v>279</v>
      </c>
      <c r="J19" s="252" t="s">
        <v>182</v>
      </c>
      <c r="K19" s="221" t="s">
        <v>280</v>
      </c>
      <c r="L19" s="274"/>
      <c r="M19" s="216" t="str">
        <f>IFERROR(IF(N5="Maturity",HLOOKUP(L5,$O$2:$S$200,ROW()-1,0),"N/A"),"")</f>
        <v>N/A</v>
      </c>
      <c r="N19" s="215" t="s">
        <v>213</v>
      </c>
      <c r="O19" s="216" t="s">
        <v>214</v>
      </c>
      <c r="P19" s="216" t="s">
        <v>214</v>
      </c>
      <c r="Q19" s="216" t="s">
        <v>214</v>
      </c>
      <c r="R19" s="216" t="s">
        <v>214</v>
      </c>
      <c r="S19" s="216" t="s">
        <v>214</v>
      </c>
      <c r="T19" s="29">
        <f t="shared" si="0"/>
        <v>1</v>
      </c>
      <c r="U19" s="32">
        <f t="shared" si="1"/>
        <v>0</v>
      </c>
      <c r="V19" s="32">
        <f t="shared" si="2"/>
        <v>1</v>
      </c>
      <c r="W19" s="32">
        <f t="shared" si="3"/>
        <v>1</v>
      </c>
    </row>
    <row r="20" spans="1:23" ht="87.65" x14ac:dyDescent="0.2">
      <c r="A20" s="210" t="s">
        <v>281</v>
      </c>
      <c r="B20" s="210" t="s">
        <v>208</v>
      </c>
      <c r="C20" s="210" t="s">
        <v>208</v>
      </c>
      <c r="D20" s="210" t="s">
        <v>208</v>
      </c>
      <c r="E20" s="217"/>
      <c r="F20" s="253" t="s">
        <v>282</v>
      </c>
      <c r="G20" s="242"/>
      <c r="H20" s="253" t="s">
        <v>282</v>
      </c>
      <c r="I20" s="216" t="s">
        <v>283</v>
      </c>
      <c r="J20" s="252" t="s">
        <v>182</v>
      </c>
      <c r="K20" s="216" t="s">
        <v>284</v>
      </c>
      <c r="L20" s="274"/>
      <c r="M20" s="216" t="str">
        <f>IFERROR(IF(N5="Maturity",HLOOKUP(L5,$O$2:$S$200,ROW()-1,0),"N/A"),"")</f>
        <v>N/A</v>
      </c>
      <c r="N20" s="215" t="s">
        <v>213</v>
      </c>
      <c r="O20" s="216" t="s">
        <v>214</v>
      </c>
      <c r="P20" s="216" t="s">
        <v>214</v>
      </c>
      <c r="Q20" s="216" t="s">
        <v>214</v>
      </c>
      <c r="R20" s="216" t="s">
        <v>214</v>
      </c>
      <c r="S20" s="216" t="s">
        <v>214</v>
      </c>
      <c r="T20" s="29">
        <f t="shared" si="0"/>
        <v>1</v>
      </c>
      <c r="U20" s="32">
        <f t="shared" si="1"/>
        <v>0</v>
      </c>
      <c r="V20" s="32">
        <f t="shared" si="2"/>
        <v>1</v>
      </c>
      <c r="W20" s="32">
        <f t="shared" si="3"/>
        <v>1</v>
      </c>
    </row>
    <row r="21" spans="1:23" ht="37.6" x14ac:dyDescent="0.2">
      <c r="A21" s="210" t="s">
        <v>285</v>
      </c>
      <c r="B21" s="210" t="s">
        <v>208</v>
      </c>
      <c r="C21" s="210" t="s">
        <v>208</v>
      </c>
      <c r="D21" s="210" t="s">
        <v>208</v>
      </c>
      <c r="E21" s="217"/>
      <c r="F21" s="246" t="s">
        <v>286</v>
      </c>
      <c r="G21" s="246" t="s">
        <v>240</v>
      </c>
      <c r="H21" s="254" t="s">
        <v>287</v>
      </c>
      <c r="I21" s="219" t="s">
        <v>288</v>
      </c>
      <c r="J21" s="233" t="s">
        <v>183</v>
      </c>
      <c r="K21" s="216" t="s">
        <v>289</v>
      </c>
      <c r="L21" s="274"/>
      <c r="M21" s="216" t="str">
        <f>IFERROR(IF(N5="Maturity",HLOOKUP(L5,$O$2:$S$200,ROW()-1,0),"N/A"),"")</f>
        <v>N/A</v>
      </c>
      <c r="N21" s="215" t="s">
        <v>213</v>
      </c>
      <c r="O21" s="216" t="s">
        <v>214</v>
      </c>
      <c r="P21" s="216" t="s">
        <v>214</v>
      </c>
      <c r="Q21" s="216" t="s">
        <v>214</v>
      </c>
      <c r="R21" s="216" t="s">
        <v>214</v>
      </c>
      <c r="S21" s="216" t="s">
        <v>214</v>
      </c>
      <c r="T21" s="29">
        <f t="shared" si="0"/>
        <v>1</v>
      </c>
      <c r="U21" s="32">
        <f t="shared" si="1"/>
        <v>0</v>
      </c>
      <c r="V21" s="32">
        <f t="shared" si="2"/>
        <v>1</v>
      </c>
      <c r="W21" s="32">
        <f t="shared" si="3"/>
        <v>1</v>
      </c>
    </row>
    <row r="22" spans="1:23" ht="62.65" x14ac:dyDescent="0.2">
      <c r="A22" s="210" t="s">
        <v>290</v>
      </c>
      <c r="B22" s="210" t="s">
        <v>208</v>
      </c>
      <c r="C22" s="210" t="s">
        <v>208</v>
      </c>
      <c r="D22" s="210" t="s">
        <v>208</v>
      </c>
      <c r="E22" s="217"/>
      <c r="F22" s="246" t="s">
        <v>286</v>
      </c>
      <c r="G22" s="246" t="s">
        <v>262</v>
      </c>
      <c r="H22" s="254" t="s">
        <v>291</v>
      </c>
      <c r="I22" s="219" t="s">
        <v>292</v>
      </c>
      <c r="J22" s="233" t="s">
        <v>183</v>
      </c>
      <c r="K22" s="216" t="s">
        <v>293</v>
      </c>
      <c r="L22" s="274"/>
      <c r="M22" s="216" t="str">
        <f>IFERROR(IF(N5="Maturity",HLOOKUP(L5,$O$2:$S$200,ROW()-1,0),"N/A"),"")</f>
        <v>N/A</v>
      </c>
      <c r="N22" s="215" t="s">
        <v>213</v>
      </c>
      <c r="O22" s="216" t="s">
        <v>214</v>
      </c>
      <c r="P22" s="216" t="s">
        <v>214</v>
      </c>
      <c r="Q22" s="216" t="s">
        <v>214</v>
      </c>
      <c r="R22" s="216" t="s">
        <v>214</v>
      </c>
      <c r="S22" s="216" t="s">
        <v>214</v>
      </c>
      <c r="T22" s="29">
        <f t="shared" si="0"/>
        <v>1</v>
      </c>
      <c r="U22" s="32">
        <f t="shared" si="1"/>
        <v>0</v>
      </c>
      <c r="V22" s="32">
        <f t="shared" si="2"/>
        <v>1</v>
      </c>
      <c r="W22" s="32">
        <f t="shared" si="3"/>
        <v>1</v>
      </c>
    </row>
    <row r="23" spans="1:23" ht="137.75" x14ac:dyDescent="0.2">
      <c r="A23" s="210" t="s">
        <v>294</v>
      </c>
      <c r="B23" s="210" t="s">
        <v>208</v>
      </c>
      <c r="C23" s="210" t="s">
        <v>208</v>
      </c>
      <c r="D23" s="210" t="s">
        <v>208</v>
      </c>
      <c r="E23" s="217"/>
      <c r="F23" s="246" t="s">
        <v>286</v>
      </c>
      <c r="G23" s="246" t="s">
        <v>267</v>
      </c>
      <c r="H23" s="254" t="s">
        <v>295</v>
      </c>
      <c r="I23" s="219" t="s">
        <v>296</v>
      </c>
      <c r="J23" s="233" t="s">
        <v>182</v>
      </c>
      <c r="K23" s="216" t="s">
        <v>297</v>
      </c>
      <c r="L23" s="274"/>
      <c r="M23" s="216" t="str">
        <f>IFERROR(IF(N5="Maturity",HLOOKUP(L5,$O$2:$S$200,ROW()-1,0),"N/A"),"")</f>
        <v>N/A</v>
      </c>
      <c r="N23" s="215" t="s">
        <v>213</v>
      </c>
      <c r="O23" s="216" t="s">
        <v>214</v>
      </c>
      <c r="P23" s="216" t="s">
        <v>214</v>
      </c>
      <c r="Q23" s="216" t="s">
        <v>214</v>
      </c>
      <c r="R23" s="216" t="s">
        <v>214</v>
      </c>
      <c r="S23" s="216" t="s">
        <v>214</v>
      </c>
      <c r="T23" s="29">
        <f t="shared" si="0"/>
        <v>1</v>
      </c>
      <c r="U23" s="32">
        <f t="shared" si="1"/>
        <v>0</v>
      </c>
      <c r="V23" s="32">
        <f t="shared" si="2"/>
        <v>1</v>
      </c>
      <c r="W23" s="32">
        <f t="shared" si="3"/>
        <v>1</v>
      </c>
    </row>
    <row r="24" spans="1:23" ht="112.7" x14ac:dyDescent="0.2">
      <c r="A24" s="210" t="s">
        <v>298</v>
      </c>
      <c r="B24" s="210" t="s">
        <v>208</v>
      </c>
      <c r="C24" s="210" t="s">
        <v>208</v>
      </c>
      <c r="D24" s="210" t="s">
        <v>208</v>
      </c>
      <c r="E24" s="217"/>
      <c r="F24" s="246" t="s">
        <v>286</v>
      </c>
      <c r="G24" s="246" t="s">
        <v>267</v>
      </c>
      <c r="H24" s="254" t="s">
        <v>295</v>
      </c>
      <c r="I24" s="219" t="s">
        <v>299</v>
      </c>
      <c r="J24" s="233" t="s">
        <v>183</v>
      </c>
      <c r="K24" s="216" t="s">
        <v>300</v>
      </c>
      <c r="L24" s="274"/>
      <c r="M24" s="216" t="str">
        <f>IFERROR(IF(N5="Maturity",HLOOKUP(L5,$O$2:$S$200,ROW()-1,0),"N/A"),"")</f>
        <v>N/A</v>
      </c>
      <c r="N24" s="215" t="s">
        <v>213</v>
      </c>
      <c r="O24" s="216" t="s">
        <v>214</v>
      </c>
      <c r="P24" s="216" t="s">
        <v>214</v>
      </c>
      <c r="Q24" s="216" t="s">
        <v>214</v>
      </c>
      <c r="R24" s="216" t="s">
        <v>214</v>
      </c>
      <c r="S24" s="216" t="s">
        <v>214</v>
      </c>
      <c r="T24" s="29">
        <f t="shared" si="0"/>
        <v>1</v>
      </c>
      <c r="U24" s="32">
        <f t="shared" si="1"/>
        <v>0</v>
      </c>
      <c r="V24" s="32">
        <f t="shared" si="2"/>
        <v>1</v>
      </c>
      <c r="W24" s="32">
        <f t="shared" si="3"/>
        <v>1</v>
      </c>
    </row>
    <row r="25" spans="1:23" ht="112.7" x14ac:dyDescent="0.2">
      <c r="A25" s="210" t="s">
        <v>301</v>
      </c>
      <c r="B25" s="210" t="s">
        <v>208</v>
      </c>
      <c r="C25" s="210" t="s">
        <v>208</v>
      </c>
      <c r="D25" s="210" t="s">
        <v>208</v>
      </c>
      <c r="E25" s="217"/>
      <c r="F25" s="246" t="s">
        <v>286</v>
      </c>
      <c r="G25" s="246" t="s">
        <v>267</v>
      </c>
      <c r="H25" s="254" t="s">
        <v>295</v>
      </c>
      <c r="I25" s="219" t="s">
        <v>302</v>
      </c>
      <c r="J25" s="233" t="s">
        <v>183</v>
      </c>
      <c r="K25" s="216" t="s">
        <v>303</v>
      </c>
      <c r="L25" s="274"/>
      <c r="M25" s="216" t="str">
        <f>IFERROR(IF(N5="Maturity",HLOOKUP(L5,$O$2:$S$200,ROW()-1,0),"N/A"),"")</f>
        <v>N/A</v>
      </c>
      <c r="N25" s="215" t="s">
        <v>213</v>
      </c>
      <c r="O25" s="216" t="s">
        <v>214</v>
      </c>
      <c r="P25" s="216" t="s">
        <v>214</v>
      </c>
      <c r="Q25" s="216" t="s">
        <v>214</v>
      </c>
      <c r="R25" s="216" t="s">
        <v>214</v>
      </c>
      <c r="S25" s="216" t="s">
        <v>214</v>
      </c>
      <c r="T25" s="29">
        <f t="shared" si="0"/>
        <v>1</v>
      </c>
      <c r="U25" s="32">
        <f t="shared" si="1"/>
        <v>0</v>
      </c>
      <c r="V25" s="32">
        <f t="shared" si="2"/>
        <v>1</v>
      </c>
      <c r="W25" s="32">
        <f t="shared" si="3"/>
        <v>1</v>
      </c>
    </row>
    <row r="26" spans="1:23" ht="100.2" x14ac:dyDescent="0.2">
      <c r="A26" s="210" t="s">
        <v>304</v>
      </c>
      <c r="B26" s="210" t="s">
        <v>208</v>
      </c>
      <c r="C26" s="210" t="s">
        <v>208</v>
      </c>
      <c r="D26" s="210" t="s">
        <v>208</v>
      </c>
      <c r="E26" s="217"/>
      <c r="F26" s="246" t="s">
        <v>286</v>
      </c>
      <c r="G26" s="246" t="s">
        <v>267</v>
      </c>
      <c r="H26" s="254" t="s">
        <v>295</v>
      </c>
      <c r="I26" s="219" t="s">
        <v>305</v>
      </c>
      <c r="J26" s="233" t="s">
        <v>183</v>
      </c>
      <c r="K26" s="216" t="s">
        <v>306</v>
      </c>
      <c r="L26" s="274"/>
      <c r="M26" s="216" t="str">
        <f>IFERROR(IF(N5="Maturity",HLOOKUP(L5,$O$2:$S$200,ROW()-1,0),"N/A"),"")</f>
        <v>N/A</v>
      </c>
      <c r="N26" s="215" t="s">
        <v>213</v>
      </c>
      <c r="O26" s="216" t="s">
        <v>214</v>
      </c>
      <c r="P26" s="216" t="s">
        <v>214</v>
      </c>
      <c r="Q26" s="216" t="s">
        <v>214</v>
      </c>
      <c r="R26" s="216" t="s">
        <v>214</v>
      </c>
      <c r="S26" s="216" t="s">
        <v>214</v>
      </c>
      <c r="T26" s="29">
        <f t="shared" si="0"/>
        <v>1</v>
      </c>
      <c r="U26" s="32">
        <f t="shared" si="1"/>
        <v>0</v>
      </c>
      <c r="V26" s="32">
        <f t="shared" si="2"/>
        <v>1</v>
      </c>
      <c r="W26" s="32">
        <f t="shared" si="3"/>
        <v>1</v>
      </c>
    </row>
    <row r="27" spans="1:23" ht="62.65" x14ac:dyDescent="0.2">
      <c r="A27" s="210" t="s">
        <v>307</v>
      </c>
      <c r="B27" s="210" t="s">
        <v>208</v>
      </c>
      <c r="C27" s="245"/>
      <c r="D27" s="210"/>
      <c r="E27" s="217"/>
      <c r="F27" s="246" t="s">
        <v>286</v>
      </c>
      <c r="G27" s="246" t="s">
        <v>272</v>
      </c>
      <c r="H27" s="254" t="s">
        <v>308</v>
      </c>
      <c r="I27" s="248" t="s">
        <v>309</v>
      </c>
      <c r="J27" s="233" t="s">
        <v>183</v>
      </c>
      <c r="K27" s="216" t="s">
        <v>310</v>
      </c>
      <c r="L27" s="274"/>
      <c r="M27" s="216" t="str">
        <f>IFERROR(IF(N5="Maturity",HLOOKUP(L5,$O$2:$S$200,ROW()-1,0),"N/A"),"")</f>
        <v>N/A</v>
      </c>
      <c r="N27" s="215" t="s">
        <v>213</v>
      </c>
      <c r="O27" s="216" t="s">
        <v>214</v>
      </c>
      <c r="P27" s="216" t="s">
        <v>214</v>
      </c>
      <c r="Q27" s="216" t="s">
        <v>214</v>
      </c>
      <c r="R27" s="216" t="s">
        <v>214</v>
      </c>
      <c r="S27" s="216" t="s">
        <v>214</v>
      </c>
      <c r="T27" s="29">
        <f t="shared" si="0"/>
        <v>1</v>
      </c>
      <c r="U27" s="32">
        <f t="shared" si="1"/>
        <v>0</v>
      </c>
      <c r="V27" s="32">
        <f t="shared" si="2"/>
        <v>1</v>
      </c>
      <c r="W27" s="32">
        <f t="shared" si="3"/>
        <v>1</v>
      </c>
    </row>
    <row r="28" spans="1:23" ht="225.4" x14ac:dyDescent="0.2">
      <c r="A28" s="210" t="s">
        <v>311</v>
      </c>
      <c r="B28" s="210" t="s">
        <v>208</v>
      </c>
      <c r="C28" s="210" t="s">
        <v>208</v>
      </c>
      <c r="D28" s="210" t="s">
        <v>208</v>
      </c>
      <c r="E28" s="217"/>
      <c r="F28" s="246" t="s">
        <v>286</v>
      </c>
      <c r="G28" s="246" t="s">
        <v>312</v>
      </c>
      <c r="H28" s="254" t="s">
        <v>313</v>
      </c>
      <c r="I28" s="219" t="s">
        <v>314</v>
      </c>
      <c r="J28" s="233" t="s">
        <v>183</v>
      </c>
      <c r="K28" s="216" t="s">
        <v>315</v>
      </c>
      <c r="L28" s="274"/>
      <c r="M28" s="216" t="str">
        <f>IFERROR(IF(N5="Maturity",HLOOKUP(L5,$O$2:$S$200,ROW()-1,0),"N/A"),"")</f>
        <v>N/A</v>
      </c>
      <c r="N28" s="215" t="s">
        <v>213</v>
      </c>
      <c r="O28" s="216" t="s">
        <v>214</v>
      </c>
      <c r="P28" s="216" t="s">
        <v>214</v>
      </c>
      <c r="Q28" s="216" t="s">
        <v>214</v>
      </c>
      <c r="R28" s="216" t="s">
        <v>214</v>
      </c>
      <c r="S28" s="216" t="s">
        <v>214</v>
      </c>
      <c r="T28" s="29">
        <f t="shared" si="0"/>
        <v>1</v>
      </c>
      <c r="U28" s="32">
        <f t="shared" si="1"/>
        <v>0</v>
      </c>
      <c r="V28" s="32">
        <f t="shared" si="2"/>
        <v>1</v>
      </c>
      <c r="W28" s="32">
        <f t="shared" si="3"/>
        <v>1</v>
      </c>
    </row>
    <row r="29" spans="1:23" ht="150.30000000000001" x14ac:dyDescent="0.2">
      <c r="A29" s="210" t="s">
        <v>316</v>
      </c>
      <c r="B29" s="210" t="s">
        <v>208</v>
      </c>
      <c r="C29" s="210" t="s">
        <v>208</v>
      </c>
      <c r="D29" s="210" t="s">
        <v>208</v>
      </c>
      <c r="E29" s="217"/>
      <c r="F29" s="246" t="s">
        <v>286</v>
      </c>
      <c r="G29" s="246" t="s">
        <v>317</v>
      </c>
      <c r="H29" s="254" t="s">
        <v>318</v>
      </c>
      <c r="I29" s="255" t="s">
        <v>319</v>
      </c>
      <c r="J29" s="233" t="s">
        <v>182</v>
      </c>
      <c r="K29" s="216" t="s">
        <v>320</v>
      </c>
      <c r="L29" s="274"/>
      <c r="M29" s="216" t="str">
        <f>IFERROR(IF(N5="Maturity",HLOOKUP(L5,$O$2:$S$200,ROW()-1,0),"N/A"),"")</f>
        <v>N/A</v>
      </c>
      <c r="N29" s="215" t="s">
        <v>213</v>
      </c>
      <c r="O29" s="216" t="s">
        <v>214</v>
      </c>
      <c r="P29" s="216" t="s">
        <v>214</v>
      </c>
      <c r="Q29" s="216" t="s">
        <v>214</v>
      </c>
      <c r="R29" s="216" t="s">
        <v>214</v>
      </c>
      <c r="S29" s="216" t="s">
        <v>214</v>
      </c>
      <c r="T29" s="29">
        <f t="shared" si="0"/>
        <v>1</v>
      </c>
      <c r="U29" s="32">
        <f t="shared" si="1"/>
        <v>0</v>
      </c>
      <c r="V29" s="32">
        <f t="shared" si="2"/>
        <v>1</v>
      </c>
      <c r="W29" s="32">
        <f t="shared" si="3"/>
        <v>1</v>
      </c>
    </row>
    <row r="30" spans="1:23" ht="112.7" x14ac:dyDescent="0.2">
      <c r="A30" s="210" t="s">
        <v>321</v>
      </c>
      <c r="B30" s="210" t="s">
        <v>208</v>
      </c>
      <c r="C30" s="210" t="s">
        <v>208</v>
      </c>
      <c r="D30" s="210" t="s">
        <v>208</v>
      </c>
      <c r="E30" s="217"/>
      <c r="F30" s="246" t="s">
        <v>286</v>
      </c>
      <c r="G30" s="246" t="s">
        <v>322</v>
      </c>
      <c r="H30" s="256" t="s">
        <v>323</v>
      </c>
      <c r="I30" s="221" t="s">
        <v>324</v>
      </c>
      <c r="J30" s="233" t="s">
        <v>183</v>
      </c>
      <c r="K30" s="216" t="s">
        <v>325</v>
      </c>
      <c r="L30" s="274"/>
      <c r="M30" s="216" t="str">
        <f>IFERROR(IF(N5="Maturity",HLOOKUP(L5,$O$2:$S$200,ROW()-1,0),"N/A"),"")</f>
        <v>N/A</v>
      </c>
      <c r="N30" s="215" t="s">
        <v>213</v>
      </c>
      <c r="O30" s="216" t="s">
        <v>214</v>
      </c>
      <c r="P30" s="216" t="s">
        <v>214</v>
      </c>
      <c r="Q30" s="216" t="s">
        <v>214</v>
      </c>
      <c r="R30" s="216" t="s">
        <v>214</v>
      </c>
      <c r="S30" s="216" t="s">
        <v>214</v>
      </c>
      <c r="T30" s="29">
        <f t="shared" si="0"/>
        <v>1</v>
      </c>
      <c r="U30" s="32">
        <f t="shared" si="1"/>
        <v>0</v>
      </c>
      <c r="V30" s="32">
        <f t="shared" si="2"/>
        <v>1</v>
      </c>
      <c r="W30" s="32">
        <f t="shared" si="3"/>
        <v>1</v>
      </c>
    </row>
    <row r="31" spans="1:23" ht="37.6" x14ac:dyDescent="0.2">
      <c r="A31" s="210" t="s">
        <v>326</v>
      </c>
      <c r="B31" s="210" t="s">
        <v>208</v>
      </c>
      <c r="C31" s="210" t="s">
        <v>208</v>
      </c>
      <c r="D31" s="210" t="s">
        <v>208</v>
      </c>
      <c r="E31" s="217"/>
      <c r="F31" s="246" t="s">
        <v>286</v>
      </c>
      <c r="G31" s="246" t="s">
        <v>327</v>
      </c>
      <c r="H31" s="254" t="s">
        <v>328</v>
      </c>
      <c r="I31" s="219" t="s">
        <v>329</v>
      </c>
      <c r="J31" s="233" t="s">
        <v>183</v>
      </c>
      <c r="K31" s="216" t="s">
        <v>330</v>
      </c>
      <c r="L31" s="274"/>
      <c r="M31" s="216" t="str">
        <f>IFERROR(IF(N5="Maturity",HLOOKUP(L5,$O$2:$S$200,ROW()-1,0),"N/A"),"")</f>
        <v>N/A</v>
      </c>
      <c r="N31" s="215" t="s">
        <v>213</v>
      </c>
      <c r="O31" s="216" t="s">
        <v>214</v>
      </c>
      <c r="P31" s="216" t="s">
        <v>214</v>
      </c>
      <c r="Q31" s="216" t="s">
        <v>214</v>
      </c>
      <c r="R31" s="216" t="s">
        <v>214</v>
      </c>
      <c r="S31" s="216" t="s">
        <v>214</v>
      </c>
      <c r="T31" s="29">
        <f t="shared" si="0"/>
        <v>1</v>
      </c>
      <c r="U31" s="32">
        <f t="shared" si="1"/>
        <v>0</v>
      </c>
      <c r="V31" s="32">
        <f t="shared" si="2"/>
        <v>1</v>
      </c>
      <c r="W31" s="32">
        <f t="shared" si="3"/>
        <v>1</v>
      </c>
    </row>
    <row r="32" spans="1:23" ht="187.85" x14ac:dyDescent="0.2">
      <c r="A32" s="210" t="s">
        <v>331</v>
      </c>
      <c r="B32" s="210" t="s">
        <v>208</v>
      </c>
      <c r="C32" s="210" t="s">
        <v>208</v>
      </c>
      <c r="D32" s="210" t="s">
        <v>208</v>
      </c>
      <c r="E32" s="217"/>
      <c r="F32" s="242" t="s">
        <v>332</v>
      </c>
      <c r="G32" s="242"/>
      <c r="H32" s="243" t="s">
        <v>332</v>
      </c>
      <c r="I32" s="257" t="s">
        <v>333</v>
      </c>
      <c r="J32" s="249" t="s">
        <v>182</v>
      </c>
      <c r="K32" s="216" t="s">
        <v>334</v>
      </c>
      <c r="L32" s="274"/>
      <c r="M32" s="216" t="str">
        <f>IFERROR(IF(N5="Maturity",HLOOKUP(L5,$O$2:$S$200,ROW()-1,0),"N/A"),"")</f>
        <v>N/A</v>
      </c>
      <c r="N32" s="250" t="s">
        <v>213</v>
      </c>
      <c r="O32" s="216" t="s">
        <v>214</v>
      </c>
      <c r="P32" s="216" t="s">
        <v>214</v>
      </c>
      <c r="Q32" s="216" t="s">
        <v>214</v>
      </c>
      <c r="R32" s="216" t="s">
        <v>214</v>
      </c>
      <c r="S32" s="216" t="s">
        <v>214</v>
      </c>
      <c r="T32" s="29">
        <f t="shared" si="0"/>
        <v>1</v>
      </c>
      <c r="U32" s="32">
        <f t="shared" si="1"/>
        <v>0</v>
      </c>
      <c r="V32" s="32">
        <f t="shared" si="2"/>
        <v>1</v>
      </c>
      <c r="W32" s="32">
        <f t="shared" si="3"/>
        <v>1</v>
      </c>
    </row>
    <row r="33" spans="1:24" ht="100.2" x14ac:dyDescent="0.2">
      <c r="A33" s="210" t="s">
        <v>335</v>
      </c>
      <c r="B33" s="210" t="s">
        <v>208</v>
      </c>
      <c r="C33" s="210" t="s">
        <v>208</v>
      </c>
      <c r="D33" s="210" t="s">
        <v>208</v>
      </c>
      <c r="E33" s="217"/>
      <c r="F33" s="242" t="s">
        <v>336</v>
      </c>
      <c r="G33" s="242" t="s">
        <v>240</v>
      </c>
      <c r="H33" s="243" t="s">
        <v>337</v>
      </c>
      <c r="I33" s="219" t="s">
        <v>338</v>
      </c>
      <c r="J33" s="220" t="s">
        <v>183</v>
      </c>
      <c r="K33" s="216" t="s">
        <v>339</v>
      </c>
      <c r="L33" s="274"/>
      <c r="M33" s="216" t="str">
        <f>IFERROR(IF(N5="Maturity",HLOOKUP(L5,$O$2:$S$200,ROW()-1,0),"N/A"),"")</f>
        <v>N/A</v>
      </c>
      <c r="N33" s="215" t="s">
        <v>213</v>
      </c>
      <c r="O33" s="216" t="s">
        <v>214</v>
      </c>
      <c r="P33" s="216" t="s">
        <v>214</v>
      </c>
      <c r="Q33" s="216" t="s">
        <v>214</v>
      </c>
      <c r="R33" s="216" t="s">
        <v>214</v>
      </c>
      <c r="S33" s="216" t="s">
        <v>214</v>
      </c>
      <c r="T33" s="29">
        <f t="shared" si="0"/>
        <v>1</v>
      </c>
      <c r="U33" s="32">
        <f t="shared" si="1"/>
        <v>0</v>
      </c>
      <c r="V33" s="32">
        <f t="shared" si="2"/>
        <v>1</v>
      </c>
      <c r="W33" s="32">
        <f t="shared" si="3"/>
        <v>1</v>
      </c>
    </row>
    <row r="34" spans="1:24" ht="37.6" x14ac:dyDescent="0.2">
      <c r="A34" s="254" t="s">
        <v>340</v>
      </c>
      <c r="B34" s="254" t="s">
        <v>208</v>
      </c>
      <c r="C34" s="254" t="s">
        <v>208</v>
      </c>
      <c r="D34" s="254" t="s">
        <v>208</v>
      </c>
      <c r="E34" s="258"/>
      <c r="F34" s="246" t="s">
        <v>336</v>
      </c>
      <c r="G34" s="246" t="s">
        <v>240</v>
      </c>
      <c r="H34" s="243" t="s">
        <v>337</v>
      </c>
      <c r="I34" s="248" t="s">
        <v>341</v>
      </c>
      <c r="J34" s="259" t="s">
        <v>183</v>
      </c>
      <c r="K34" s="260" t="s">
        <v>342</v>
      </c>
      <c r="L34" s="274"/>
      <c r="M34" s="216" t="str">
        <f>IFERROR(IF(N5="Maturity",HLOOKUP(L5,$O$2:$S$200,ROW()-1,0),"N/A"),"")</f>
        <v>N/A</v>
      </c>
      <c r="N34" s="261" t="s">
        <v>213</v>
      </c>
      <c r="O34" s="216" t="s">
        <v>214</v>
      </c>
      <c r="P34" s="216" t="s">
        <v>214</v>
      </c>
      <c r="Q34" s="216" t="s">
        <v>214</v>
      </c>
      <c r="R34" s="216" t="s">
        <v>214</v>
      </c>
      <c r="S34" s="216" t="s">
        <v>214</v>
      </c>
      <c r="T34" s="29">
        <f t="shared" si="0"/>
        <v>1</v>
      </c>
      <c r="U34" s="32">
        <f t="shared" si="1"/>
        <v>0</v>
      </c>
      <c r="V34" s="32">
        <f t="shared" si="2"/>
        <v>1</v>
      </c>
      <c r="W34" s="32">
        <f t="shared" si="3"/>
        <v>1</v>
      </c>
    </row>
    <row r="35" spans="1:24" ht="100.2" x14ac:dyDescent="0.2">
      <c r="A35" s="210" t="s">
        <v>343</v>
      </c>
      <c r="B35" s="210" t="s">
        <v>208</v>
      </c>
      <c r="C35" s="210" t="s">
        <v>208</v>
      </c>
      <c r="D35" s="210" t="s">
        <v>208</v>
      </c>
      <c r="E35" s="262"/>
      <c r="F35" s="242" t="s">
        <v>344</v>
      </c>
      <c r="G35" s="242" t="s">
        <v>240</v>
      </c>
      <c r="H35" s="243" t="s">
        <v>345</v>
      </c>
      <c r="I35" s="219" t="s">
        <v>346</v>
      </c>
      <c r="J35" s="249" t="s">
        <v>183</v>
      </c>
      <c r="K35" s="263" t="s">
        <v>347</v>
      </c>
      <c r="L35" s="274"/>
      <c r="M35" s="216" t="str">
        <f>IFERROR(IF(N5="Maturity",HLOOKUP(L5,$O$2:$S$200,ROW()-1,0),"N/A"),"")</f>
        <v>N/A</v>
      </c>
      <c r="N35" s="250" t="s">
        <v>213</v>
      </c>
      <c r="O35" s="216" t="s">
        <v>214</v>
      </c>
      <c r="P35" s="216" t="s">
        <v>214</v>
      </c>
      <c r="Q35" s="216" t="s">
        <v>214</v>
      </c>
      <c r="R35" s="216" t="s">
        <v>214</v>
      </c>
      <c r="S35" s="216" t="s">
        <v>214</v>
      </c>
      <c r="T35" s="29">
        <f t="shared" si="0"/>
        <v>1</v>
      </c>
      <c r="U35" s="32">
        <f t="shared" si="1"/>
        <v>0</v>
      </c>
      <c r="V35" s="32">
        <f t="shared" si="2"/>
        <v>1</v>
      </c>
      <c r="W35" s="32">
        <f t="shared" si="3"/>
        <v>1</v>
      </c>
    </row>
    <row r="36" spans="1:24" ht="243.25" customHeight="1" x14ac:dyDescent="0.2">
      <c r="A36" s="210" t="s">
        <v>348</v>
      </c>
      <c r="B36" s="210" t="s">
        <v>208</v>
      </c>
      <c r="C36" s="210" t="s">
        <v>208</v>
      </c>
      <c r="D36" s="210" t="s">
        <v>208</v>
      </c>
      <c r="E36" s="217"/>
      <c r="F36" s="242" t="s">
        <v>344</v>
      </c>
      <c r="G36" s="242" t="s">
        <v>262</v>
      </c>
      <c r="H36" s="243" t="s">
        <v>349</v>
      </c>
      <c r="I36" s="219" t="s">
        <v>350</v>
      </c>
      <c r="J36" s="220" t="s">
        <v>182</v>
      </c>
      <c r="K36" s="218" t="s">
        <v>351</v>
      </c>
      <c r="L36" s="274"/>
      <c r="M36" s="216" t="str">
        <f>IFERROR(IF(N5="Maturity",HLOOKUP(L5,$O$2:$S$200,ROW()-1,0),"N/A"),"")</f>
        <v>N/A</v>
      </c>
      <c r="N36" s="215" t="s">
        <v>213</v>
      </c>
      <c r="O36" s="216" t="s">
        <v>214</v>
      </c>
      <c r="P36" s="216" t="s">
        <v>214</v>
      </c>
      <c r="Q36" s="216" t="s">
        <v>214</v>
      </c>
      <c r="R36" s="216" t="s">
        <v>214</v>
      </c>
      <c r="S36" s="216" t="s">
        <v>214</v>
      </c>
      <c r="T36" s="29">
        <f t="shared" si="0"/>
        <v>1</v>
      </c>
      <c r="U36" s="32">
        <f t="shared" si="1"/>
        <v>0</v>
      </c>
      <c r="V36" s="32">
        <f t="shared" si="2"/>
        <v>1</v>
      </c>
      <c r="W36" s="32">
        <f t="shared" si="3"/>
        <v>1</v>
      </c>
    </row>
    <row r="37" spans="1:24" ht="62.65" x14ac:dyDescent="0.2">
      <c r="A37" s="210" t="s">
        <v>352</v>
      </c>
      <c r="B37" s="210" t="s">
        <v>208</v>
      </c>
      <c r="C37" s="210" t="s">
        <v>208</v>
      </c>
      <c r="D37" s="210" t="s">
        <v>208</v>
      </c>
      <c r="E37" s="217"/>
      <c r="F37" s="242" t="s">
        <v>344</v>
      </c>
      <c r="G37" s="242" t="s">
        <v>267</v>
      </c>
      <c r="H37" s="243" t="s">
        <v>353</v>
      </c>
      <c r="I37" s="219" t="s">
        <v>354</v>
      </c>
      <c r="J37" s="220" t="s">
        <v>182</v>
      </c>
      <c r="K37" s="218" t="s">
        <v>355</v>
      </c>
      <c r="L37" s="274"/>
      <c r="M37" s="216" t="str">
        <f>IFERROR(IF(N5="Maturity",HLOOKUP(L5,$O$2:$S$200,ROW()-1,0),"N/A"),"")</f>
        <v>N/A</v>
      </c>
      <c r="N37" s="215" t="s">
        <v>213</v>
      </c>
      <c r="O37" s="216" t="s">
        <v>214</v>
      </c>
      <c r="P37" s="216" t="s">
        <v>214</v>
      </c>
      <c r="Q37" s="216" t="s">
        <v>214</v>
      </c>
      <c r="R37" s="216" t="s">
        <v>214</v>
      </c>
      <c r="S37" s="216" t="s">
        <v>214</v>
      </c>
      <c r="T37" s="29">
        <f t="shared" si="0"/>
        <v>1</v>
      </c>
      <c r="U37" s="32">
        <f t="shared" si="1"/>
        <v>0</v>
      </c>
      <c r="V37" s="32">
        <f t="shared" si="2"/>
        <v>1</v>
      </c>
      <c r="W37" s="32">
        <f t="shared" si="3"/>
        <v>1</v>
      </c>
    </row>
    <row r="38" spans="1:24" ht="50.1" x14ac:dyDescent="0.2">
      <c r="A38" s="264" t="s">
        <v>356</v>
      </c>
      <c r="B38" s="264" t="s">
        <v>208</v>
      </c>
      <c r="C38" s="264" t="s">
        <v>208</v>
      </c>
      <c r="D38" s="264" t="s">
        <v>208</v>
      </c>
      <c r="E38" s="265"/>
      <c r="F38" s="266" t="s">
        <v>357</v>
      </c>
      <c r="G38" s="266"/>
      <c r="H38" s="243" t="s">
        <v>357</v>
      </c>
      <c r="I38" s="219" t="s">
        <v>358</v>
      </c>
      <c r="J38" s="267" t="s">
        <v>183</v>
      </c>
      <c r="K38" s="238" t="s">
        <v>359</v>
      </c>
      <c r="L38" s="275"/>
      <c r="M38" s="216" t="str">
        <f>IFERROR(IF(N5="Maturity",HLOOKUP(L5,$O$2:$S$200,ROW()-1,0),"N/A"),"")</f>
        <v>N/A</v>
      </c>
      <c r="N38" s="239" t="s">
        <v>213</v>
      </c>
      <c r="O38" s="234" t="s">
        <v>214</v>
      </c>
      <c r="P38" s="234" t="s">
        <v>214</v>
      </c>
      <c r="Q38" s="234" t="s">
        <v>214</v>
      </c>
      <c r="R38" s="234" t="s">
        <v>214</v>
      </c>
      <c r="S38" s="216" t="s">
        <v>214</v>
      </c>
      <c r="T38" s="29">
        <f t="shared" si="0"/>
        <v>1</v>
      </c>
      <c r="U38" s="32">
        <f t="shared" si="1"/>
        <v>0</v>
      </c>
      <c r="V38" s="32">
        <f t="shared" si="2"/>
        <v>1</v>
      </c>
      <c r="W38" s="32">
        <f t="shared" si="3"/>
        <v>1</v>
      </c>
    </row>
    <row r="39" spans="1:24" ht="50.1" x14ac:dyDescent="0.2">
      <c r="A39" s="210" t="s">
        <v>360</v>
      </c>
      <c r="B39" s="210" t="s">
        <v>208</v>
      </c>
      <c r="C39" s="210" t="s">
        <v>208</v>
      </c>
      <c r="D39" s="210" t="s">
        <v>208</v>
      </c>
      <c r="E39" s="210"/>
      <c r="F39" s="242" t="s">
        <v>361</v>
      </c>
      <c r="G39" s="242"/>
      <c r="H39" s="243">
        <v>2.4</v>
      </c>
      <c r="I39" s="219" t="s">
        <v>362</v>
      </c>
      <c r="J39" s="220" t="s">
        <v>183</v>
      </c>
      <c r="K39" s="218" t="s">
        <v>363</v>
      </c>
      <c r="L39" s="274"/>
      <c r="M39" s="216" t="str">
        <f>IFERROR(IF(N5="Maturity",HLOOKUP(L5,$O$2:$S$200,ROW()-1,0),"N/A"),"")</f>
        <v>N/A</v>
      </c>
      <c r="N39" s="215" t="s">
        <v>213</v>
      </c>
      <c r="O39" s="216" t="s">
        <v>214</v>
      </c>
      <c r="P39" s="216" t="s">
        <v>214</v>
      </c>
      <c r="Q39" s="216" t="s">
        <v>214</v>
      </c>
      <c r="R39" s="216" t="s">
        <v>214</v>
      </c>
      <c r="S39" s="216" t="s">
        <v>214</v>
      </c>
      <c r="T39" s="29">
        <f t="shared" si="0"/>
        <v>1</v>
      </c>
      <c r="U39" s="32">
        <f t="shared" si="1"/>
        <v>0</v>
      </c>
      <c r="V39" s="32">
        <f t="shared" si="2"/>
        <v>1</v>
      </c>
      <c r="W39" s="32">
        <f t="shared" si="3"/>
        <v>1</v>
      </c>
    </row>
    <row r="40" spans="1:24" x14ac:dyDescent="0.2">
      <c r="W40" s="32">
        <f>SUM(W5:W39)</f>
        <v>32</v>
      </c>
    </row>
    <row r="42" spans="1:24" x14ac:dyDescent="0.2">
      <c r="L42" s="271" t="s">
        <v>364</v>
      </c>
      <c r="M42" s="272" t="str">
        <f>IF(W40&gt;0,"โปรดระวัง ท่านยังไม่ได้บันทึกผลการประเมินในข้อดังนี้","ตอบแบบประเมินครบถ้วน")</f>
        <v>โปรดระวัง ท่านยังไม่ได้บันทึกผลการประเมินในข้อดังนี้</v>
      </c>
      <c r="X42" s="32">
        <f>COUNTIF(N5:N39,"Maturity")</f>
        <v>3</v>
      </c>
    </row>
    <row r="43" spans="1:24" ht="62.65" x14ac:dyDescent="0.2">
      <c r="M43" s="273" t="str">
        <f>IF(ISBLANK(L5),_xlfn.CONCAT(A5," , "),"")&amp; IF(ISBLANK(L6),_xlfn.CONCAT(A6," , "),"")&amp; IF(ISBLANK(L7),_xlfn.CONCAT(A7," , "),"")&amp; IF(ISBLANK(L8),_xlfn.CONCAT(A8," , "),"")&amp; IF(ISBLANK(L9),_xlfn.CONCAT(A9," , "),"")&amp; IF(ISBLANK(L10),_xlfn.CONCAT(A10," , "),"")&amp; IF(ISBLANK(L11),_xlfn.CONCAT(A11," , "),"")&amp; IF(ISBLANK(L14),_xlfn.CONCAT(A14," , "),"")&amp; IF(ISBLANK(L15),_xlfn.CONCAT(A15," , "),"")&amp; IF(ISBLANK(L16),_xlfn.CONCAT(A16," , "),"")&amp; IF(ISBLANK(L17),_xlfn.CONCAT(A17," , "),"")&amp; IF(ISBLANK(L19),_xlfn.CONCAT(A19," , "),"")&amp; IF(ISBLANK(L20),_xlfn.CONCAT(A20," , "),"")&amp; IF(ISBLANK(L21),_xlfn.CONCAT(A21," , "),"")&amp; IF(ISBLANK(L22),_xlfn.CONCAT(A22," , "),"")&amp; IF(ISBLANK(L23),_xlfn.CONCAT(A23," , "),"")&amp; IF(ISBLANK(L24),_xlfn.CONCAT(A24," , "),"")&amp; IF(ISBLANK(L25),_xlfn.CONCAT(A25," , "),"")&amp; IF(ISBLANK(L26),_xlfn.CONCAT(A26," , "),"")&amp; IF(ISBLANK(L27),_xlfn.CONCAT(A27," , "),"")&amp; IF(ISBLANK(L28),_xlfn.CONCAT(A28," , "),"")&amp; IF(ISBLANK(L29),_xlfn.CONCAT(A29," , "),"")&amp; IF(ISBLANK(L30),_xlfn.CONCAT(A30," , "),"")&amp; IF(ISBLANK(L31),_xlfn.CONCAT(A31," , "),"")&amp; IF(ISBLANK(L32),_xlfn.CONCAT(A32," , "),"")&amp; IF(ISBLANK(L33),_xlfn.CONCAT(A33," , "),"")&amp; IF(ISBLANK(L34),_xlfn.CONCAT(A34," , "),"")&amp; IF(ISBLANK(L35),_xlfn.CONCAT(A35," , "),"")&amp; IF(ISBLANK(L36),_xlfn.CONCAT(A36," , "),"")&amp;
IF(ISBLANK(L37),_xlfn.CONCAT(A37," , "),"")&amp; IF(ISBLANK(L38),_xlfn.CONCAT(A38," , "),"")&amp; IF(ISBLANK(L39),A39,"")</f>
        <v>D1 #1 , D1 #2 , D1 #3 , D1 #4 , D1 #5 , D1 #6 , D1 #7 , D1 #8 , D1 #9 , D1 #10 , D1 #11 , D1 #12 , D1 #13 , D1 #14 , D1 #15 , D1 #16 , D1 #17 , D1 #18 , D1 #19 , D1 #20 , D1 #21 , D1 #22 , D1 #23 , D1 #24 , D1 #25 , D1 #26 , D1 #27 , D1 #28 , D1 #29 , D1 #30 , D1 #31 , D1 #32</v>
      </c>
    </row>
  </sheetData>
  <sheetProtection formatColumns="0" formatRows="0" selectLockedCells="1" autoFilter="0"/>
  <autoFilter ref="B1:S39" xr:uid="{C21F4FE7-0310-47C7-A7B0-7B42E49EA3A5}"/>
  <conditionalFormatting sqref="M42">
    <cfRule type="containsText" dxfId="27" priority="1" operator="containsText" text="โปรดระวัง ท่านยังไม่ได้บันทึกผลการประเมินในข้อดังนี้">
      <formula>NOT(ISERROR(SEARCH("โปรดระวัง ท่านยังไม่ได้บันทึกผลการประเมินในข้อดังนี้",M42)))</formula>
    </cfRule>
    <cfRule type="containsText" dxfId="26" priority="2" operator="containsText" text="ตอบแบบประเมินครบถ้วน">
      <formula>NOT(ISERROR(SEARCH("ตอบแบบประเมินครบถ้วน",M42)))</formula>
    </cfRule>
  </conditionalFormatting>
  <dataValidations count="3">
    <dataValidation type="list" allowBlank="1" showInputMessage="1" showErrorMessage="1" sqref="N14:N17 N5:N11 N19:N39" xr:uid="{2A381E8B-7817-418D-A1AC-B0FB718C40F4}">
      <formula1>"Yes/Partial/No, Maturity"</formula1>
    </dataValidation>
    <dataValidation type="list" allowBlank="1" showInputMessage="1" showErrorMessage="1" sqref="L10 L6:L7" xr:uid="{15CB28FE-1BFF-431E-AFA9-C85D03AE31E2}">
      <formula1>"M1,M2,M3,M4,M5,N/A"</formula1>
    </dataValidation>
    <dataValidation type="list" allowBlank="1" showInputMessage="1" showErrorMessage="1" sqref="L14:L17 L19:L39 L5 L11" xr:uid="{1355C9C2-D065-4718-9E94-6BB49C617C60}">
      <formula1>"Yes,Partial,No,N/A"</formula1>
    </dataValidation>
  </dataValidations>
  <pageMargins left="0.25" right="0.25" top="0.5" bottom="0.5" header="0.3" footer="0.3"/>
  <pageSetup paperSize="9" scale="23" pageOrder="overThenDown" orientation="landscape" horizontalDpi="1200" verticalDpi="1200" r:id="rId1"/>
  <headerFooter>
    <oddHeader>&amp;L&amp;"TH Sarabun New,Regular"&amp;14แนวทางการประเมินสำหรับผู้ประกอบธุรกิจภายใต้หน่วยงานกำกับดูแล (IT Audit Program)&amp;R&amp;"TH Sarabun New,Regular"&amp;14Authorised Restricted Use - Confidential</oddHeader>
    <oddFooter>&amp;L&amp;"Calibri"&amp;11&amp;K000000&amp;"TH Sarabun New,Regular"&amp;14หมวด 1 การกำกับดูแลและบริหารจัดการเทคโนโลยีสารสนเทศ&amp;R&amp;"TH Sarabun New,Regular"&amp;14&amp;P&amp;L&amp;"Calibri"&amp;11&amp;K000000&amp;"TH Sarabun New,Regular"&amp;14หมวด 1 การกำกับดูแลและบริหารจัดการเทคโนโลยีสารสนเทศ</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E415AD-E38E-401A-98DF-9F426A8F75F7}">
  <sheetPr codeName="Sheet7">
    <tabColor theme="9" tint="0.39997558519241921"/>
  </sheetPr>
  <dimension ref="A1:Y9"/>
  <sheetViews>
    <sheetView zoomScale="70" zoomScaleNormal="70" workbookViewId="0">
      <pane ySplit="1" topLeftCell="A2" activePane="bottomLeft" state="frozen"/>
      <selection pane="bottomLeft" activeCell="L5" sqref="L5:L6"/>
    </sheetView>
  </sheetViews>
  <sheetFormatPr defaultColWidth="8.19921875" defaultRowHeight="21.3" x14ac:dyDescent="0.6"/>
  <cols>
    <col min="1" max="1" width="10.19921875" style="288" customWidth="1"/>
    <col min="2" max="5" width="9.19921875" style="277" customWidth="1"/>
    <col min="6" max="7" width="15.19921875" style="277" customWidth="1"/>
    <col min="8" max="8" width="18.19921875" style="277" customWidth="1"/>
    <col min="9" max="9" width="50.19921875" style="288" customWidth="1"/>
    <col min="10" max="10" width="20.19921875" style="288" customWidth="1"/>
    <col min="11" max="11" width="120.19921875" style="288" customWidth="1"/>
    <col min="12" max="12" width="18.69921875" style="277" customWidth="1"/>
    <col min="13" max="13" width="50.69921875" style="288" customWidth="1"/>
    <col min="14" max="14" width="32.19921875" style="288" bestFit="1" customWidth="1"/>
    <col min="15" max="15" width="47.19921875" style="288" bestFit="1" customWidth="1"/>
    <col min="16" max="16" width="46.8984375" style="288" bestFit="1" customWidth="1"/>
    <col min="17" max="17" width="47.69921875" style="288" bestFit="1" customWidth="1"/>
    <col min="18" max="18" width="49.19921875" style="288" bestFit="1" customWidth="1"/>
    <col min="19" max="19" width="49.09765625" style="288" customWidth="1"/>
    <col min="20" max="22" width="2.19921875" style="288" hidden="1" customWidth="1"/>
    <col min="23" max="23" width="20.69921875" style="288" hidden="1" customWidth="1"/>
    <col min="24" max="24" width="18.8984375" style="288" hidden="1" customWidth="1"/>
    <col min="25" max="25" width="21.09765625" style="288" hidden="1" customWidth="1"/>
    <col min="26" max="26" width="53.09765625" style="288" customWidth="1"/>
    <col min="27" max="16384" width="8.19921875" style="288"/>
  </cols>
  <sheetData>
    <row r="1" spans="1:25" s="277" customFormat="1" ht="37.6" x14ac:dyDescent="0.6">
      <c r="A1" s="198" t="s">
        <v>181</v>
      </c>
      <c r="B1" s="199" t="s">
        <v>182</v>
      </c>
      <c r="C1" s="200" t="s">
        <v>183</v>
      </c>
      <c r="D1" s="201" t="s">
        <v>184</v>
      </c>
      <c r="E1" s="202" t="s">
        <v>185</v>
      </c>
      <c r="F1" s="198" t="s">
        <v>186</v>
      </c>
      <c r="G1" s="203" t="s">
        <v>187</v>
      </c>
      <c r="H1" s="204" t="s">
        <v>188</v>
      </c>
      <c r="I1" s="205" t="s">
        <v>189</v>
      </c>
      <c r="J1" s="206" t="s">
        <v>190</v>
      </c>
      <c r="K1" s="206" t="s">
        <v>191</v>
      </c>
      <c r="L1" s="206" t="s">
        <v>192</v>
      </c>
      <c r="M1" s="206" t="s">
        <v>111</v>
      </c>
      <c r="N1" s="206" t="s">
        <v>193</v>
      </c>
      <c r="O1" s="207" t="s">
        <v>194</v>
      </c>
      <c r="P1" s="207" t="s">
        <v>195</v>
      </c>
      <c r="Q1" s="208" t="s">
        <v>196</v>
      </c>
      <c r="R1" s="208" t="s">
        <v>197</v>
      </c>
      <c r="S1" s="207" t="s">
        <v>198</v>
      </c>
      <c r="T1" s="276"/>
      <c r="U1" s="276"/>
      <c r="V1" s="276"/>
      <c r="W1" s="276"/>
    </row>
    <row r="2" spans="1:25" x14ac:dyDescent="0.6">
      <c r="A2" s="278"/>
      <c r="B2" s="278"/>
      <c r="C2" s="278"/>
      <c r="D2" s="278"/>
      <c r="E2" s="279"/>
      <c r="F2" s="280" t="s">
        <v>365</v>
      </c>
      <c r="G2" s="281"/>
      <c r="H2" s="282"/>
      <c r="I2" s="278"/>
      <c r="J2" s="278"/>
      <c r="K2" s="278"/>
      <c r="L2" s="278"/>
      <c r="M2" s="278"/>
      <c r="N2" s="283"/>
      <c r="O2" s="284" t="s">
        <v>200</v>
      </c>
      <c r="P2" s="284" t="s">
        <v>201</v>
      </c>
      <c r="Q2" s="285" t="s">
        <v>202</v>
      </c>
      <c r="R2" s="286" t="s">
        <v>203</v>
      </c>
      <c r="S2" s="284" t="s">
        <v>204</v>
      </c>
      <c r="T2" s="287"/>
      <c r="U2" s="287"/>
      <c r="V2" s="287"/>
      <c r="W2" s="287"/>
    </row>
    <row r="3" spans="1:25" s="297" customFormat="1" x14ac:dyDescent="0.2">
      <c r="A3" s="289"/>
      <c r="B3" s="289"/>
      <c r="C3" s="289"/>
      <c r="D3" s="289"/>
      <c r="E3" s="290"/>
      <c r="F3" s="291" t="s">
        <v>366</v>
      </c>
      <c r="G3" s="292"/>
      <c r="H3" s="293"/>
      <c r="I3" s="289"/>
      <c r="J3" s="289"/>
      <c r="K3" s="289"/>
      <c r="L3" s="289"/>
      <c r="M3" s="289"/>
      <c r="N3" s="289"/>
      <c r="O3" s="289"/>
      <c r="P3" s="294"/>
      <c r="Q3" s="294"/>
      <c r="R3" s="295"/>
      <c r="S3" s="289"/>
      <c r="T3" s="296"/>
      <c r="U3" s="296"/>
      <c r="V3" s="296"/>
      <c r="W3" s="296"/>
    </row>
    <row r="4" spans="1:25" x14ac:dyDescent="0.6">
      <c r="A4" s="298"/>
      <c r="B4" s="298"/>
      <c r="C4" s="298"/>
      <c r="D4" s="298"/>
      <c r="E4" s="299"/>
      <c r="F4" s="300" t="s">
        <v>367</v>
      </c>
      <c r="G4" s="301"/>
      <c r="H4" s="302"/>
      <c r="I4" s="298"/>
      <c r="J4" s="298"/>
      <c r="K4" s="298"/>
      <c r="L4" s="298"/>
      <c r="M4" s="298"/>
      <c r="N4" s="303"/>
      <c r="O4" s="303"/>
      <c r="P4" s="303"/>
      <c r="Q4" s="304"/>
      <c r="R4" s="305"/>
      <c r="S4" s="303"/>
      <c r="T4" s="287"/>
      <c r="U4" s="287"/>
      <c r="V4" s="287"/>
      <c r="W4" s="287"/>
    </row>
    <row r="5" spans="1:25" ht="167.5" customHeight="1" x14ac:dyDescent="0.6">
      <c r="A5" s="306" t="s">
        <v>368</v>
      </c>
      <c r="B5" s="306" t="s">
        <v>208</v>
      </c>
      <c r="C5" s="306" t="s">
        <v>208</v>
      </c>
      <c r="D5" s="306" t="s">
        <v>208</v>
      </c>
      <c r="E5" s="306"/>
      <c r="F5" s="306">
        <v>1.1000000000000001</v>
      </c>
      <c r="G5" s="306"/>
      <c r="H5" s="307">
        <v>1.1000000000000001</v>
      </c>
      <c r="I5" s="308" t="s">
        <v>369</v>
      </c>
      <c r="J5" s="306" t="s">
        <v>183</v>
      </c>
      <c r="K5" s="244" t="s">
        <v>370</v>
      </c>
      <c r="L5" s="274"/>
      <c r="M5" s="216" t="str">
        <f>IFERROR(IF(N5="Maturity",HLOOKUP(L5,$O$2:$S$200,ROW()-1,0),"N/A"),"")</f>
        <v/>
      </c>
      <c r="N5" s="210" t="s">
        <v>219</v>
      </c>
      <c r="O5" s="244" t="s">
        <v>371</v>
      </c>
      <c r="P5" s="244" t="s">
        <v>372</v>
      </c>
      <c r="Q5" s="244" t="s">
        <v>373</v>
      </c>
      <c r="R5" s="309" t="s">
        <v>374</v>
      </c>
      <c r="S5" s="310" t="s">
        <v>375</v>
      </c>
      <c r="T5" s="276">
        <f>IF(OR(L5="Yes",L5="M3",L5="M4",L5="M5"),3,IF(OR(L5="Partial",L5="M2"),2,IF(L5="N/A",0,1)))</f>
        <v>1</v>
      </c>
      <c r="U5" s="287">
        <f>IF(L5="M4",1,IF(L5="M5",2,0))</f>
        <v>0</v>
      </c>
      <c r="V5" s="287">
        <f>T5+U5</f>
        <v>1</v>
      </c>
      <c r="W5" s="287">
        <f>IF(ISBLANK(L5),1,0)</f>
        <v>1</v>
      </c>
    </row>
    <row r="6" spans="1:25" ht="150.6" customHeight="1" x14ac:dyDescent="0.6">
      <c r="A6" s="311" t="s">
        <v>376</v>
      </c>
      <c r="B6" s="311" t="s">
        <v>208</v>
      </c>
      <c r="C6" s="311" t="s">
        <v>208</v>
      </c>
      <c r="D6" s="311" t="s">
        <v>208</v>
      </c>
      <c r="E6" s="311"/>
      <c r="F6" s="311">
        <v>1.2</v>
      </c>
      <c r="G6" s="311">
        <v>1</v>
      </c>
      <c r="H6" s="307" t="s">
        <v>226</v>
      </c>
      <c r="I6" s="244" t="s">
        <v>377</v>
      </c>
      <c r="J6" s="306" t="s">
        <v>182</v>
      </c>
      <c r="K6" s="308" t="s">
        <v>378</v>
      </c>
      <c r="L6" s="274"/>
      <c r="M6" s="216" t="str">
        <f>IFERROR(IF(N6="Maturity",HLOOKUP(L6,$O$2:$S$200,ROW()-1,0),"N/A"),"")</f>
        <v/>
      </c>
      <c r="N6" s="210" t="s">
        <v>219</v>
      </c>
      <c r="O6" s="244" t="s">
        <v>379</v>
      </c>
      <c r="P6" s="244" t="s">
        <v>380</v>
      </c>
      <c r="Q6" s="244" t="s">
        <v>381</v>
      </c>
      <c r="R6" s="248" t="s">
        <v>382</v>
      </c>
      <c r="S6" s="312" t="s">
        <v>383</v>
      </c>
      <c r="T6" s="276">
        <f>IF(OR(L6="Yes",L6="M3",L6="M4",L6="M5"),3,IF(OR(L6="Partial",L6="M2"),2,IF(L6="N/A",0,1)))</f>
        <v>1</v>
      </c>
      <c r="U6" s="287">
        <f>IF(L6="M4",1,IF(L6="M5",2,0))</f>
        <v>0</v>
      </c>
      <c r="V6" s="287">
        <f>T6+U6</f>
        <v>1</v>
      </c>
      <c r="W6" s="287">
        <f>IF(ISBLANK(L6),1,0)</f>
        <v>1</v>
      </c>
    </row>
    <row r="7" spans="1:25" x14ac:dyDescent="0.6">
      <c r="A7" s="287"/>
      <c r="B7" s="276"/>
      <c r="C7" s="276"/>
      <c r="D7" s="276"/>
      <c r="E7" s="276"/>
      <c r="F7" s="276"/>
      <c r="G7" s="276"/>
      <c r="H7" s="276"/>
      <c r="I7" s="287"/>
      <c r="J7" s="287"/>
      <c r="K7" s="287"/>
      <c r="L7" s="276"/>
      <c r="M7" s="287"/>
      <c r="N7" s="287"/>
      <c r="O7" s="287"/>
      <c r="P7" s="287"/>
      <c r="Q7" s="287"/>
      <c r="R7" s="287"/>
      <c r="S7" s="287"/>
      <c r="T7" s="287"/>
      <c r="U7" s="287"/>
      <c r="V7" s="287"/>
      <c r="W7" s="287">
        <f>SUM(W5:W6)</f>
        <v>2</v>
      </c>
      <c r="Y7" s="288">
        <f>COUNTIF(N5:N6,"Maturity")</f>
        <v>2</v>
      </c>
    </row>
    <row r="8" spans="1:25" x14ac:dyDescent="0.6">
      <c r="A8" s="287"/>
      <c r="B8" s="276"/>
      <c r="C8" s="276"/>
      <c r="D8" s="276"/>
      <c r="E8" s="276"/>
      <c r="F8" s="276"/>
      <c r="G8" s="276"/>
      <c r="H8" s="276"/>
      <c r="I8" s="287"/>
      <c r="J8" s="287"/>
      <c r="K8" s="287"/>
      <c r="L8" s="271" t="s">
        <v>364</v>
      </c>
      <c r="M8" s="272" t="str">
        <f>IF(W7&gt;0,"โปรดระวัง ท่านยังไม่ได้บันทึกผลการประเมินในข้อดังนี้","ตอบแบบประเมินครบถ้วน")</f>
        <v>โปรดระวัง ท่านยังไม่ได้บันทึกผลการประเมินในข้อดังนี้</v>
      </c>
      <c r="O8" s="287"/>
      <c r="P8" s="287"/>
      <c r="Q8" s="287"/>
      <c r="R8" s="287"/>
      <c r="S8" s="287"/>
      <c r="T8" s="287"/>
      <c r="U8" s="287"/>
      <c r="V8" s="287"/>
      <c r="W8" s="287"/>
    </row>
    <row r="9" spans="1:25" x14ac:dyDescent="0.6">
      <c r="A9" s="287"/>
      <c r="B9" s="276"/>
      <c r="C9" s="276"/>
      <c r="D9" s="276"/>
      <c r="E9" s="276"/>
      <c r="F9" s="276"/>
      <c r="G9" s="276"/>
      <c r="H9" s="276"/>
      <c r="I9" s="287"/>
      <c r="J9" s="287"/>
      <c r="K9" s="287"/>
      <c r="L9" s="276"/>
      <c r="M9" s="313" t="str">
        <f>IF(ISBLANK(L5),_xlfn.CONCAT(A5," , "),"")&amp; IF(ISBLANK(L6),A6,"")</f>
        <v>D2.1 #1 , D2.1 #2</v>
      </c>
      <c r="O9" s="287"/>
      <c r="P9" s="287"/>
      <c r="Q9" s="287"/>
      <c r="R9" s="287"/>
      <c r="S9" s="287"/>
      <c r="T9" s="287"/>
      <c r="U9" s="287"/>
      <c r="V9" s="287"/>
      <c r="W9" s="287"/>
    </row>
  </sheetData>
  <sheetProtection selectLockedCells="1"/>
  <autoFilter ref="A1:N6" xr:uid="{72E415AD-E38E-401A-98DF-9F426A8F75F7}"/>
  <conditionalFormatting sqref="M8">
    <cfRule type="containsText" dxfId="25" priority="1" operator="containsText" text="โปรดระวัง ท่านยังไม่ได้บันทึกผลการประเมินในข้อดังนี้">
      <formula>NOT(ISERROR(SEARCH("โปรดระวัง ท่านยังไม่ได้บันทึกผลการประเมินในข้อดังนี้",M8)))</formula>
    </cfRule>
    <cfRule type="containsText" dxfId="24" priority="2" operator="containsText" text="ตอบแบบประเมินครบถ้วน">
      <formula>NOT(ISERROR(SEARCH("ตอบแบบประเมินครบถ้วน",M8)))</formula>
    </cfRule>
  </conditionalFormatting>
  <dataValidations count="2">
    <dataValidation type="list" allowBlank="1" showInputMessage="1" showErrorMessage="1" sqref="L5:L6" xr:uid="{7F53C8E5-7376-4B9D-AA39-0C2FFCFB15D9}">
      <formula1>"M1,M2,M3,M4,M5,N/A"</formula1>
    </dataValidation>
    <dataValidation type="list" allowBlank="1" showInputMessage="1" showErrorMessage="1" sqref="N5:N6" xr:uid="{1EDB0476-4127-43DF-B2E5-F4264D0782B0}">
      <formula1>"Yes/Partial/No, Maturity"</formula1>
    </dataValidation>
  </dataValidations>
  <pageMargins left="0.25" right="0.25" top="0.5" bottom="0.5" header="0.3" footer="0.3"/>
  <pageSetup paperSize="9" scale="70" fitToHeight="5" pageOrder="overThenDown" orientation="landscape" horizontalDpi="1200" verticalDpi="1200" r:id="rId1"/>
  <headerFooter>
    <oddHeader>&amp;L&amp;"TH Sarabun New,Regular"&amp;14แนวทางการประเมินสำหรับผู้ประกอบธุรกิจภายใต้หน่วยงานกำกับดูแล (IT Audit Program)&amp;R&amp;"TH Sarabun New,Regular"&amp;14Authorised Restricted Use - Confidential</oddHeader>
    <oddFooter>&amp;L&amp;"TH Sarabun New,Regular"&amp;14หมวด 2.1 โครงสร้างการบริหารงานเพื่อการรักษาความมั่นคงปลอดภัยด้าน IT (organization of information technology security)&amp;R&amp;"TH Sarabun New,Regular"&amp;14&amp;P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FAF3DF-FCB9-4B42-B7B0-51B9BDEA3D41}">
  <sheetPr codeName="Sheet13" filterMode="1">
    <tabColor theme="9" tint="0.39997558519241921"/>
  </sheetPr>
  <dimension ref="A1:Z32"/>
  <sheetViews>
    <sheetView topLeftCell="D1" zoomScaleNormal="100" workbookViewId="0">
      <pane ySplit="1" topLeftCell="A20" activePane="bottomLeft" state="frozen"/>
      <selection pane="bottomLeft" activeCell="J1" sqref="J1"/>
    </sheetView>
  </sheetViews>
  <sheetFormatPr defaultColWidth="8.19921875" defaultRowHeight="12.55" x14ac:dyDescent="0.2"/>
  <cols>
    <col min="1" max="1" width="10.19921875" style="334" customWidth="1"/>
    <col min="2" max="5" width="9.19921875" style="355" customWidth="1"/>
    <col min="6" max="7" width="15.19921875" style="356" customWidth="1"/>
    <col min="8" max="8" width="18.19921875" style="356" customWidth="1"/>
    <col min="9" max="9" width="50.19921875" style="334" customWidth="1"/>
    <col min="10" max="10" width="20.19921875" style="355" customWidth="1"/>
    <col min="11" max="11" width="120.19921875" style="334" customWidth="1"/>
    <col min="12" max="12" width="18.69921875" style="355" customWidth="1"/>
    <col min="13" max="13" width="50.69921875" style="334" customWidth="1"/>
    <col min="14" max="14" width="32.19921875" style="334" bestFit="1" customWidth="1"/>
    <col min="15" max="15" width="49" style="357" bestFit="1" customWidth="1"/>
    <col min="16" max="18" width="49.19921875" style="357" bestFit="1" customWidth="1"/>
    <col min="19" max="19" width="49.19921875" style="357" customWidth="1"/>
    <col min="20" max="22" width="2.09765625" style="334" hidden="1" customWidth="1"/>
    <col min="23" max="26" width="8.19921875" style="334" hidden="1" customWidth="1"/>
    <col min="27" max="16384" width="8.19921875" style="334"/>
  </cols>
  <sheetData>
    <row r="1" spans="1:23" s="276" customFormat="1" ht="37.6" x14ac:dyDescent="0.2">
      <c r="A1" s="198" t="s">
        <v>181</v>
      </c>
      <c r="B1" s="199" t="s">
        <v>182</v>
      </c>
      <c r="C1" s="200" t="s">
        <v>183</v>
      </c>
      <c r="D1" s="201" t="s">
        <v>184</v>
      </c>
      <c r="E1" s="202" t="s">
        <v>185</v>
      </c>
      <c r="F1" s="198" t="s">
        <v>186</v>
      </c>
      <c r="G1" s="203" t="s">
        <v>187</v>
      </c>
      <c r="H1" s="204" t="s">
        <v>188</v>
      </c>
      <c r="I1" s="205" t="s">
        <v>189</v>
      </c>
      <c r="J1" s="206" t="s">
        <v>190</v>
      </c>
      <c r="K1" s="206" t="s">
        <v>191</v>
      </c>
      <c r="L1" s="206" t="s">
        <v>192</v>
      </c>
      <c r="M1" s="206" t="s">
        <v>111</v>
      </c>
      <c r="N1" s="206" t="s">
        <v>193</v>
      </c>
      <c r="O1" s="207" t="s">
        <v>194</v>
      </c>
      <c r="P1" s="207" t="s">
        <v>195</v>
      </c>
      <c r="Q1" s="208" t="s">
        <v>196</v>
      </c>
      <c r="R1" s="208" t="s">
        <v>197</v>
      </c>
      <c r="S1" s="207" t="s">
        <v>198</v>
      </c>
    </row>
    <row r="2" spans="1:23" s="287" customFormat="1" ht="11.15" hidden="1" customHeight="1" x14ac:dyDescent="0.2">
      <c r="A2" s="314"/>
      <c r="B2" s="314"/>
      <c r="C2" s="314"/>
      <c r="D2" s="314"/>
      <c r="E2" s="315"/>
      <c r="F2" s="316" t="s">
        <v>365</v>
      </c>
      <c r="G2" s="317"/>
      <c r="H2" s="318"/>
      <c r="I2" s="314"/>
      <c r="J2" s="314"/>
      <c r="K2" s="314"/>
      <c r="L2" s="314"/>
      <c r="M2" s="314"/>
      <c r="N2" s="319"/>
      <c r="O2" s="320" t="s">
        <v>200</v>
      </c>
      <c r="P2" s="320" t="s">
        <v>201</v>
      </c>
      <c r="Q2" s="286" t="s">
        <v>202</v>
      </c>
      <c r="R2" s="320" t="s">
        <v>203</v>
      </c>
      <c r="S2" s="320" t="s">
        <v>204</v>
      </c>
    </row>
    <row r="3" spans="1:23" s="296" customFormat="1" hidden="1" x14ac:dyDescent="0.25">
      <c r="A3" s="289"/>
      <c r="B3" s="289"/>
      <c r="C3" s="289"/>
      <c r="D3" s="289"/>
      <c r="E3" s="289"/>
      <c r="F3" s="291" t="s">
        <v>384</v>
      </c>
      <c r="G3" s="321"/>
      <c r="H3" s="322"/>
      <c r="I3" s="289"/>
      <c r="J3" s="289"/>
      <c r="K3" s="289"/>
      <c r="L3" s="289"/>
      <c r="M3" s="289"/>
      <c r="N3" s="289"/>
      <c r="O3" s="289"/>
      <c r="P3" s="289"/>
      <c r="Q3" s="289"/>
      <c r="R3" s="289"/>
      <c r="S3" s="289"/>
    </row>
    <row r="4" spans="1:23" s="287" customFormat="1" hidden="1" x14ac:dyDescent="0.2">
      <c r="A4" s="323"/>
      <c r="B4" s="323"/>
      <c r="C4" s="323"/>
      <c r="D4" s="323"/>
      <c r="E4" s="324"/>
      <c r="F4" s="325" t="s">
        <v>385</v>
      </c>
      <c r="G4" s="326"/>
      <c r="H4" s="327"/>
      <c r="I4" s="323"/>
      <c r="J4" s="323"/>
      <c r="K4" s="323"/>
      <c r="L4" s="323"/>
      <c r="M4" s="323"/>
      <c r="N4" s="328"/>
      <c r="O4" s="328"/>
      <c r="P4" s="328"/>
      <c r="Q4" s="329"/>
      <c r="R4" s="330"/>
      <c r="S4" s="330"/>
    </row>
    <row r="5" spans="1:23" ht="111.45" hidden="1" customHeight="1" x14ac:dyDescent="0.2">
      <c r="A5" s="215" t="s">
        <v>386</v>
      </c>
      <c r="B5" s="215" t="s">
        <v>208</v>
      </c>
      <c r="C5" s="215" t="s">
        <v>208</v>
      </c>
      <c r="D5" s="215" t="s">
        <v>208</v>
      </c>
      <c r="E5" s="215"/>
      <c r="F5" s="331" t="s">
        <v>387</v>
      </c>
      <c r="G5" s="331"/>
      <c r="H5" s="307" t="s">
        <v>387</v>
      </c>
      <c r="I5" s="216" t="s">
        <v>388</v>
      </c>
      <c r="J5" s="215" t="s">
        <v>183</v>
      </c>
      <c r="K5" s="216" t="s">
        <v>389</v>
      </c>
      <c r="L5" s="274"/>
      <c r="M5" s="216" t="str">
        <f t="shared" ref="M5:M13" si="0">IFERROR(IF(N5="Maturity",HLOOKUP(L5,$O$2:$S$200,ROW()-1,0),"N/A"),"")</f>
        <v>N/A</v>
      </c>
      <c r="N5" s="215" t="s">
        <v>213</v>
      </c>
      <c r="O5" s="332" t="s">
        <v>390</v>
      </c>
      <c r="P5" s="332" t="s">
        <v>390</v>
      </c>
      <c r="Q5" s="332" t="s">
        <v>390</v>
      </c>
      <c r="R5" s="333" t="s">
        <v>390</v>
      </c>
      <c r="S5" s="332" t="s">
        <v>390</v>
      </c>
      <c r="T5" s="276">
        <f>IF(OR(L5="Yes",L5="M3",L5="M4",L5="M5"),3,IF(OR(L5="Partial",L5="M2"),2,IF(L5="N/A",0,1)))</f>
        <v>1</v>
      </c>
      <c r="U5" s="287">
        <f>IF(L5="M4",1,IF(L5="M5",2,0))</f>
        <v>0</v>
      </c>
      <c r="V5" s="287">
        <f>T5+U5</f>
        <v>1</v>
      </c>
      <c r="W5" s="287">
        <f>IF(ISBLANK(L5),1,0)</f>
        <v>1</v>
      </c>
    </row>
    <row r="6" spans="1:23" ht="109.75" hidden="1" customHeight="1" x14ac:dyDescent="0.2">
      <c r="A6" s="215" t="s">
        <v>391</v>
      </c>
      <c r="B6" s="215" t="s">
        <v>208</v>
      </c>
      <c r="C6" s="215" t="s">
        <v>208</v>
      </c>
      <c r="D6" s="215" t="s">
        <v>208</v>
      </c>
      <c r="E6" s="215"/>
      <c r="F6" s="331" t="s">
        <v>392</v>
      </c>
      <c r="G6" s="331" t="s">
        <v>240</v>
      </c>
      <c r="H6" s="307" t="s">
        <v>393</v>
      </c>
      <c r="I6" s="216" t="s">
        <v>394</v>
      </c>
      <c r="J6" s="215" t="s">
        <v>183</v>
      </c>
      <c r="K6" s="216" t="s">
        <v>395</v>
      </c>
      <c r="L6" s="274"/>
      <c r="M6" s="216" t="str">
        <f t="shared" si="0"/>
        <v>N/A</v>
      </c>
      <c r="N6" s="215" t="s">
        <v>213</v>
      </c>
      <c r="O6" s="332" t="s">
        <v>390</v>
      </c>
      <c r="P6" s="332" t="s">
        <v>390</v>
      </c>
      <c r="Q6" s="332" t="s">
        <v>390</v>
      </c>
      <c r="R6" s="333" t="s">
        <v>390</v>
      </c>
      <c r="S6" s="332" t="s">
        <v>390</v>
      </c>
      <c r="T6" s="276">
        <f t="shared" ref="T6:T9" si="1">IF(OR(L6="Yes",L6="M3",L6="M4",L6="M5"),3,IF(OR(L6="Partial",L6="M2"),2,IF(L6="N/A",0,1)))</f>
        <v>1</v>
      </c>
      <c r="U6" s="287">
        <f t="shared" ref="U6:U9" si="2">IF(L6="M4",1,IF(L6="M5",2,0))</f>
        <v>0</v>
      </c>
      <c r="V6" s="287">
        <f t="shared" ref="V6:V9" si="3">T6+U6</f>
        <v>1</v>
      </c>
      <c r="W6" s="287">
        <f t="shared" ref="W6:W28" si="4">IF(ISBLANK(L6),1,0)</f>
        <v>1</v>
      </c>
    </row>
    <row r="7" spans="1:23" ht="139.80000000000001" hidden="1" customHeight="1" x14ac:dyDescent="0.2">
      <c r="A7" s="215" t="s">
        <v>396</v>
      </c>
      <c r="B7" s="215" t="s">
        <v>208</v>
      </c>
      <c r="C7" s="215" t="s">
        <v>208</v>
      </c>
      <c r="D7" s="215" t="s">
        <v>208</v>
      </c>
      <c r="E7" s="215"/>
      <c r="F7" s="331" t="s">
        <v>392</v>
      </c>
      <c r="G7" s="331" t="s">
        <v>262</v>
      </c>
      <c r="H7" s="307" t="s">
        <v>397</v>
      </c>
      <c r="I7" s="216" t="s">
        <v>398</v>
      </c>
      <c r="J7" s="215" t="s">
        <v>182</v>
      </c>
      <c r="K7" s="216" t="s">
        <v>399</v>
      </c>
      <c r="L7" s="274"/>
      <c r="M7" s="216" t="str">
        <f t="shared" si="0"/>
        <v>N/A</v>
      </c>
      <c r="N7" s="215" t="s">
        <v>213</v>
      </c>
      <c r="O7" s="332" t="s">
        <v>390</v>
      </c>
      <c r="P7" s="332" t="s">
        <v>390</v>
      </c>
      <c r="Q7" s="332" t="s">
        <v>390</v>
      </c>
      <c r="R7" s="333" t="s">
        <v>390</v>
      </c>
      <c r="S7" s="332" t="s">
        <v>390</v>
      </c>
      <c r="T7" s="276">
        <f t="shared" si="1"/>
        <v>1</v>
      </c>
      <c r="U7" s="287">
        <f t="shared" si="2"/>
        <v>0</v>
      </c>
      <c r="V7" s="287">
        <f t="shared" si="3"/>
        <v>1</v>
      </c>
      <c r="W7" s="287">
        <f t="shared" si="4"/>
        <v>1</v>
      </c>
    </row>
    <row r="8" spans="1:23" ht="136.5" hidden="1" customHeight="1" x14ac:dyDescent="0.2">
      <c r="A8" s="215" t="s">
        <v>400</v>
      </c>
      <c r="B8" s="215" t="s">
        <v>208</v>
      </c>
      <c r="C8" s="215" t="s">
        <v>208</v>
      </c>
      <c r="D8" s="215" t="s">
        <v>208</v>
      </c>
      <c r="E8" s="215"/>
      <c r="F8" s="335" t="s">
        <v>401</v>
      </c>
      <c r="G8" s="335" t="s">
        <v>240</v>
      </c>
      <c r="H8" s="307" t="s">
        <v>402</v>
      </c>
      <c r="I8" s="216" t="s">
        <v>403</v>
      </c>
      <c r="J8" s="215" t="s">
        <v>183</v>
      </c>
      <c r="K8" s="216" t="s">
        <v>404</v>
      </c>
      <c r="L8" s="274"/>
      <c r="M8" s="216" t="str">
        <f t="shared" si="0"/>
        <v/>
      </c>
      <c r="N8" s="215" t="s">
        <v>219</v>
      </c>
      <c r="O8" s="216" t="s">
        <v>405</v>
      </c>
      <c r="P8" s="216" t="s">
        <v>406</v>
      </c>
      <c r="Q8" s="216" t="s">
        <v>407</v>
      </c>
      <c r="R8" s="216" t="s">
        <v>408</v>
      </c>
      <c r="S8" s="216" t="s">
        <v>409</v>
      </c>
      <c r="T8" s="276">
        <f t="shared" si="1"/>
        <v>1</v>
      </c>
      <c r="U8" s="287">
        <f t="shared" si="2"/>
        <v>0</v>
      </c>
      <c r="V8" s="287">
        <f t="shared" si="3"/>
        <v>1</v>
      </c>
      <c r="W8" s="287">
        <f t="shared" si="4"/>
        <v>1</v>
      </c>
    </row>
    <row r="9" spans="1:23" ht="63.25" hidden="1" customHeight="1" x14ac:dyDescent="0.2">
      <c r="A9" s="215" t="s">
        <v>410</v>
      </c>
      <c r="B9" s="215" t="s">
        <v>208</v>
      </c>
      <c r="C9" s="215" t="s">
        <v>208</v>
      </c>
      <c r="D9" s="215" t="s">
        <v>208</v>
      </c>
      <c r="E9" s="215"/>
      <c r="F9" s="335" t="s">
        <v>401</v>
      </c>
      <c r="G9" s="335" t="s">
        <v>262</v>
      </c>
      <c r="H9" s="307" t="s">
        <v>411</v>
      </c>
      <c r="I9" s="216" t="s">
        <v>412</v>
      </c>
      <c r="J9" s="215" t="s">
        <v>183</v>
      </c>
      <c r="K9" s="216" t="s">
        <v>413</v>
      </c>
      <c r="L9" s="274"/>
      <c r="M9" s="216" t="str">
        <f t="shared" si="0"/>
        <v>N/A</v>
      </c>
      <c r="N9" s="215" t="s">
        <v>213</v>
      </c>
      <c r="O9" s="332" t="s">
        <v>214</v>
      </c>
      <c r="P9" s="332" t="s">
        <v>214</v>
      </c>
      <c r="Q9" s="332" t="s">
        <v>214</v>
      </c>
      <c r="R9" s="333" t="s">
        <v>214</v>
      </c>
      <c r="S9" s="332" t="s">
        <v>214</v>
      </c>
      <c r="T9" s="276">
        <f t="shared" si="1"/>
        <v>1</v>
      </c>
      <c r="U9" s="287">
        <f t="shared" si="2"/>
        <v>0</v>
      </c>
      <c r="V9" s="287">
        <f t="shared" si="3"/>
        <v>1</v>
      </c>
      <c r="W9" s="287">
        <f t="shared" si="4"/>
        <v>1</v>
      </c>
    </row>
    <row r="10" spans="1:23" ht="87.65" hidden="1" x14ac:dyDescent="0.2">
      <c r="A10" s="215" t="s">
        <v>414</v>
      </c>
      <c r="B10" s="215" t="s">
        <v>208</v>
      </c>
      <c r="C10" s="215" t="s">
        <v>208</v>
      </c>
      <c r="D10" s="215" t="s">
        <v>208</v>
      </c>
      <c r="E10" s="215"/>
      <c r="F10" s="335" t="s">
        <v>401</v>
      </c>
      <c r="G10" s="335" t="s">
        <v>267</v>
      </c>
      <c r="H10" s="307" t="s">
        <v>415</v>
      </c>
      <c r="I10" s="216" t="s">
        <v>416</v>
      </c>
      <c r="J10" s="215" t="s">
        <v>183</v>
      </c>
      <c r="K10" s="216" t="s">
        <v>417</v>
      </c>
      <c r="L10" s="274"/>
      <c r="M10" s="216" t="str">
        <f t="shared" si="0"/>
        <v>N/A</v>
      </c>
      <c r="N10" s="210" t="s">
        <v>213</v>
      </c>
      <c r="O10" s="332" t="s">
        <v>214</v>
      </c>
      <c r="P10" s="332" t="s">
        <v>214</v>
      </c>
      <c r="Q10" s="332" t="s">
        <v>214</v>
      </c>
      <c r="R10" s="333" t="s">
        <v>214</v>
      </c>
      <c r="S10" s="332" t="s">
        <v>214</v>
      </c>
      <c r="T10" s="276">
        <f>IF(OR(L10="Yes",L10="M3",L10="M4",L10="M5"),3,IF(OR(L10="Partial",L10="M2"),2,IF(L10="N/A",0,1)))</f>
        <v>1</v>
      </c>
      <c r="U10" s="287">
        <f>IF(L10="M4",1,IF(L10="M5",2,0))</f>
        <v>0</v>
      </c>
      <c r="V10" s="287">
        <f>T10+U10</f>
        <v>1</v>
      </c>
      <c r="W10" s="287">
        <f t="shared" si="4"/>
        <v>1</v>
      </c>
    </row>
    <row r="11" spans="1:23" ht="129.6" hidden="1" customHeight="1" x14ac:dyDescent="0.2">
      <c r="A11" s="215" t="s">
        <v>418</v>
      </c>
      <c r="B11" s="215" t="s">
        <v>208</v>
      </c>
      <c r="C11" s="215" t="s">
        <v>208</v>
      </c>
      <c r="D11" s="215" t="s">
        <v>208</v>
      </c>
      <c r="E11" s="215"/>
      <c r="F11" s="335" t="s">
        <v>419</v>
      </c>
      <c r="G11" s="335" t="s">
        <v>250</v>
      </c>
      <c r="H11" s="307" t="s">
        <v>420</v>
      </c>
      <c r="I11" s="216" t="s">
        <v>421</v>
      </c>
      <c r="J11" s="215" t="s">
        <v>183</v>
      </c>
      <c r="K11" s="216" t="s">
        <v>422</v>
      </c>
      <c r="L11" s="274"/>
      <c r="M11" s="216" t="str">
        <f t="shared" si="0"/>
        <v>N/A</v>
      </c>
      <c r="N11" s="215" t="s">
        <v>213</v>
      </c>
      <c r="O11" s="332" t="s">
        <v>214</v>
      </c>
      <c r="P11" s="332" t="s">
        <v>214</v>
      </c>
      <c r="Q11" s="332" t="s">
        <v>214</v>
      </c>
      <c r="R11" s="333" t="s">
        <v>214</v>
      </c>
      <c r="S11" s="332" t="s">
        <v>214</v>
      </c>
      <c r="T11" s="276">
        <f t="shared" ref="T11:T29" si="5">IF(OR(L11="Yes",L11="M3",L11="M4",L11="M5"),3,IF(OR(L11="Partial",L11="M2"),2,IF(L11="N/A",0,1)))</f>
        <v>1</v>
      </c>
      <c r="U11" s="287">
        <f t="shared" ref="U11:U29" si="6">IF(L11="M4",1,IF(L11="M5",2,0))</f>
        <v>0</v>
      </c>
      <c r="V11" s="287">
        <f t="shared" ref="V11:V29" si="7">T11+U11</f>
        <v>1</v>
      </c>
      <c r="W11" s="287">
        <f t="shared" si="4"/>
        <v>1</v>
      </c>
    </row>
    <row r="12" spans="1:23" ht="95.8" hidden="1" customHeight="1" x14ac:dyDescent="0.2">
      <c r="A12" s="215" t="s">
        <v>423</v>
      </c>
      <c r="B12" s="215" t="s">
        <v>208</v>
      </c>
      <c r="C12" s="215" t="s">
        <v>208</v>
      </c>
      <c r="D12" s="215" t="s">
        <v>208</v>
      </c>
      <c r="E12" s="215"/>
      <c r="F12" s="335" t="s">
        <v>424</v>
      </c>
      <c r="G12" s="335"/>
      <c r="H12" s="307" t="s">
        <v>424</v>
      </c>
      <c r="I12" s="216" t="s">
        <v>425</v>
      </c>
      <c r="J12" s="215" t="s">
        <v>183</v>
      </c>
      <c r="K12" s="216" t="s">
        <v>426</v>
      </c>
      <c r="L12" s="274"/>
      <c r="M12" s="216" t="str">
        <f t="shared" si="0"/>
        <v>N/A</v>
      </c>
      <c r="N12" s="215" t="s">
        <v>213</v>
      </c>
      <c r="O12" s="332" t="s">
        <v>214</v>
      </c>
      <c r="P12" s="332" t="s">
        <v>214</v>
      </c>
      <c r="Q12" s="332" t="s">
        <v>214</v>
      </c>
      <c r="R12" s="333" t="s">
        <v>214</v>
      </c>
      <c r="S12" s="332" t="s">
        <v>214</v>
      </c>
      <c r="T12" s="276">
        <f t="shared" si="5"/>
        <v>1</v>
      </c>
      <c r="U12" s="287">
        <f t="shared" si="6"/>
        <v>0</v>
      </c>
      <c r="V12" s="287">
        <f t="shared" si="7"/>
        <v>1</v>
      </c>
      <c r="W12" s="287">
        <f t="shared" si="4"/>
        <v>1</v>
      </c>
    </row>
    <row r="13" spans="1:23" ht="132.6" hidden="1" customHeight="1" x14ac:dyDescent="0.2">
      <c r="A13" s="215" t="s">
        <v>427</v>
      </c>
      <c r="B13" s="215" t="s">
        <v>208</v>
      </c>
      <c r="C13" s="215" t="s">
        <v>208</v>
      </c>
      <c r="D13" s="215" t="s">
        <v>208</v>
      </c>
      <c r="E13" s="215"/>
      <c r="F13" s="335" t="s">
        <v>428</v>
      </c>
      <c r="G13" s="335" t="s">
        <v>240</v>
      </c>
      <c r="H13" s="307" t="s">
        <v>429</v>
      </c>
      <c r="I13" s="216" t="s">
        <v>430</v>
      </c>
      <c r="J13" s="215" t="s">
        <v>183</v>
      </c>
      <c r="K13" s="216" t="s">
        <v>431</v>
      </c>
      <c r="L13" s="274"/>
      <c r="M13" s="216" t="str">
        <f t="shared" si="0"/>
        <v/>
      </c>
      <c r="N13" s="215" t="s">
        <v>219</v>
      </c>
      <c r="O13" s="216" t="s">
        <v>432</v>
      </c>
      <c r="P13" s="216" t="s">
        <v>433</v>
      </c>
      <c r="Q13" s="216" t="s">
        <v>434</v>
      </c>
      <c r="R13" s="219" t="s">
        <v>435</v>
      </c>
      <c r="S13" s="221" t="s">
        <v>436</v>
      </c>
      <c r="T13" s="276">
        <f t="shared" si="5"/>
        <v>1</v>
      </c>
      <c r="U13" s="287">
        <f t="shared" si="6"/>
        <v>0</v>
      </c>
      <c r="V13" s="287">
        <f t="shared" si="7"/>
        <v>1</v>
      </c>
      <c r="W13" s="287">
        <f t="shared" si="4"/>
        <v>1</v>
      </c>
    </row>
    <row r="14" spans="1:23" s="287" customFormat="1" ht="21.3" hidden="1" x14ac:dyDescent="0.2">
      <c r="A14" s="298"/>
      <c r="B14" s="298"/>
      <c r="C14" s="298"/>
      <c r="D14" s="298"/>
      <c r="E14" s="299"/>
      <c r="F14" s="336" t="s">
        <v>437</v>
      </c>
      <c r="G14" s="337"/>
      <c r="H14" s="338"/>
      <c r="I14" s="298"/>
      <c r="J14" s="298"/>
      <c r="K14" s="298"/>
      <c r="L14" s="298"/>
      <c r="M14" s="298"/>
      <c r="N14" s="303"/>
      <c r="O14" s="339"/>
      <c r="P14" s="339"/>
      <c r="Q14" s="340"/>
      <c r="R14" s="341"/>
      <c r="S14" s="342"/>
      <c r="T14" s="276">
        <f t="shared" si="5"/>
        <v>1</v>
      </c>
      <c r="U14" s="287">
        <f t="shared" si="6"/>
        <v>0</v>
      </c>
      <c r="V14" s="287">
        <f t="shared" si="7"/>
        <v>1</v>
      </c>
      <c r="W14" s="287">
        <f>SUM(W5:W13)</f>
        <v>9</v>
      </c>
    </row>
    <row r="15" spans="1:23" s="287" customFormat="1" ht="197.85" customHeight="1" x14ac:dyDescent="0.2">
      <c r="A15" s="215" t="s">
        <v>438</v>
      </c>
      <c r="B15" s="210" t="s">
        <v>208</v>
      </c>
      <c r="C15" s="210" t="s">
        <v>208</v>
      </c>
      <c r="D15" s="210" t="s">
        <v>208</v>
      </c>
      <c r="E15" s="217" t="s">
        <v>208</v>
      </c>
      <c r="F15" s="306" t="s">
        <v>439</v>
      </c>
      <c r="G15" s="343" t="s">
        <v>250</v>
      </c>
      <c r="H15" s="307" t="s">
        <v>440</v>
      </c>
      <c r="I15" s="216" t="s">
        <v>441</v>
      </c>
      <c r="J15" s="210" t="s">
        <v>183</v>
      </c>
      <c r="K15" s="344" t="s">
        <v>442</v>
      </c>
      <c r="L15" s="274"/>
      <c r="M15" s="216" t="str">
        <f t="shared" ref="M15:M29" si="8">IFERROR(IF(N15="Maturity",HLOOKUP(L15,$O$2:$S$200,ROW()-1,0),"N/A"),"")</f>
        <v>N/A</v>
      </c>
      <c r="N15" s="210" t="s">
        <v>213</v>
      </c>
      <c r="O15" s="345" t="s">
        <v>214</v>
      </c>
      <c r="P15" s="345" t="s">
        <v>214</v>
      </c>
      <c r="Q15" s="345" t="s">
        <v>214</v>
      </c>
      <c r="R15" s="345" t="s">
        <v>214</v>
      </c>
      <c r="S15" s="345" t="s">
        <v>214</v>
      </c>
      <c r="T15" s="276">
        <f t="shared" si="5"/>
        <v>1</v>
      </c>
      <c r="U15" s="287">
        <f t="shared" si="6"/>
        <v>0</v>
      </c>
      <c r="V15" s="287">
        <f t="shared" si="7"/>
        <v>1</v>
      </c>
      <c r="W15" s="287">
        <f t="shared" si="4"/>
        <v>1</v>
      </c>
    </row>
    <row r="16" spans="1:23" ht="90.8" customHeight="1" x14ac:dyDescent="0.2">
      <c r="A16" s="215" t="s">
        <v>443</v>
      </c>
      <c r="B16" s="215" t="s">
        <v>208</v>
      </c>
      <c r="C16" s="215" t="s">
        <v>208</v>
      </c>
      <c r="D16" s="215" t="s">
        <v>208</v>
      </c>
      <c r="E16" s="346" t="s">
        <v>208</v>
      </c>
      <c r="F16" s="254" t="s">
        <v>444</v>
      </c>
      <c r="G16" s="256">
        <v>1</v>
      </c>
      <c r="H16" s="307" t="s">
        <v>445</v>
      </c>
      <c r="I16" s="216" t="s">
        <v>446</v>
      </c>
      <c r="J16" s="347" t="s">
        <v>182</v>
      </c>
      <c r="K16" s="344" t="s">
        <v>447</v>
      </c>
      <c r="L16" s="274"/>
      <c r="M16" s="216" t="str">
        <f t="shared" si="8"/>
        <v>N/A</v>
      </c>
      <c r="N16" s="215" t="s">
        <v>213</v>
      </c>
      <c r="O16" s="332" t="s">
        <v>214</v>
      </c>
      <c r="P16" s="332" t="s">
        <v>214</v>
      </c>
      <c r="Q16" s="332" t="s">
        <v>214</v>
      </c>
      <c r="R16" s="332" t="s">
        <v>214</v>
      </c>
      <c r="S16" s="332" t="s">
        <v>214</v>
      </c>
      <c r="T16" s="276">
        <f t="shared" si="5"/>
        <v>1</v>
      </c>
      <c r="U16" s="287">
        <f t="shared" si="6"/>
        <v>0</v>
      </c>
      <c r="V16" s="287">
        <f t="shared" si="7"/>
        <v>1</v>
      </c>
      <c r="W16" s="287">
        <f t="shared" si="4"/>
        <v>1</v>
      </c>
    </row>
    <row r="17" spans="1:25" s="287" customFormat="1" ht="239.8" customHeight="1" x14ac:dyDescent="0.2">
      <c r="A17" s="215" t="s">
        <v>448</v>
      </c>
      <c r="B17" s="210" t="s">
        <v>208</v>
      </c>
      <c r="C17" s="210" t="s">
        <v>208</v>
      </c>
      <c r="D17" s="210" t="s">
        <v>208</v>
      </c>
      <c r="E17" s="217" t="s">
        <v>208</v>
      </c>
      <c r="F17" s="306" t="s">
        <v>444</v>
      </c>
      <c r="G17" s="306">
        <v>2</v>
      </c>
      <c r="H17" s="307" t="s">
        <v>449</v>
      </c>
      <c r="I17" s="344" t="s">
        <v>450</v>
      </c>
      <c r="J17" s="348" t="s">
        <v>182</v>
      </c>
      <c r="K17" s="344" t="s">
        <v>451</v>
      </c>
      <c r="L17" s="274"/>
      <c r="M17" s="216" t="str">
        <f t="shared" si="8"/>
        <v>N/A</v>
      </c>
      <c r="N17" s="210" t="s">
        <v>213</v>
      </c>
      <c r="O17" s="345" t="s">
        <v>214</v>
      </c>
      <c r="P17" s="345" t="s">
        <v>214</v>
      </c>
      <c r="Q17" s="345" t="s">
        <v>214</v>
      </c>
      <c r="R17" s="345" t="s">
        <v>214</v>
      </c>
      <c r="S17" s="345" t="s">
        <v>214</v>
      </c>
      <c r="T17" s="276">
        <f t="shared" si="5"/>
        <v>1</v>
      </c>
      <c r="U17" s="287">
        <f t="shared" si="6"/>
        <v>0</v>
      </c>
      <c r="V17" s="287">
        <f t="shared" si="7"/>
        <v>1</v>
      </c>
      <c r="W17" s="287">
        <f t="shared" si="4"/>
        <v>1</v>
      </c>
    </row>
    <row r="18" spans="1:25" s="287" customFormat="1" ht="87.65" hidden="1" x14ac:dyDescent="0.2">
      <c r="A18" s="215" t="s">
        <v>452</v>
      </c>
      <c r="B18" s="210" t="s">
        <v>208</v>
      </c>
      <c r="C18" s="210"/>
      <c r="D18" s="210"/>
      <c r="E18" s="217"/>
      <c r="F18" s="306" t="s">
        <v>444</v>
      </c>
      <c r="G18" s="306" t="s">
        <v>453</v>
      </c>
      <c r="H18" s="307" t="s">
        <v>454</v>
      </c>
      <c r="I18" s="344" t="s">
        <v>455</v>
      </c>
      <c r="J18" s="210" t="s">
        <v>184</v>
      </c>
      <c r="K18" s="344" t="s">
        <v>456</v>
      </c>
      <c r="L18" s="274"/>
      <c r="M18" s="216" t="str">
        <f t="shared" si="8"/>
        <v>N/A</v>
      </c>
      <c r="N18" s="210" t="s">
        <v>213</v>
      </c>
      <c r="O18" s="345" t="s">
        <v>214</v>
      </c>
      <c r="P18" s="345" t="s">
        <v>214</v>
      </c>
      <c r="Q18" s="345" t="s">
        <v>214</v>
      </c>
      <c r="R18" s="349" t="s">
        <v>214</v>
      </c>
      <c r="S18" s="345" t="s">
        <v>214</v>
      </c>
      <c r="T18" s="276">
        <f t="shared" si="5"/>
        <v>1</v>
      </c>
      <c r="U18" s="287">
        <f t="shared" si="6"/>
        <v>0</v>
      </c>
      <c r="V18" s="287">
        <f t="shared" si="7"/>
        <v>1</v>
      </c>
      <c r="W18" s="287">
        <f t="shared" si="4"/>
        <v>1</v>
      </c>
    </row>
    <row r="19" spans="1:25" s="287" customFormat="1" ht="357.65" customHeight="1" x14ac:dyDescent="0.2">
      <c r="A19" s="215" t="s">
        <v>457</v>
      </c>
      <c r="B19" s="210" t="s">
        <v>208</v>
      </c>
      <c r="C19" s="210" t="s">
        <v>208</v>
      </c>
      <c r="D19" s="210" t="s">
        <v>208</v>
      </c>
      <c r="E19" s="217" t="s">
        <v>208</v>
      </c>
      <c r="F19" s="307" t="s">
        <v>458</v>
      </c>
      <c r="G19" s="350">
        <v>1</v>
      </c>
      <c r="H19" s="307" t="s">
        <v>459</v>
      </c>
      <c r="I19" s="216" t="s">
        <v>460</v>
      </c>
      <c r="J19" s="346" t="s">
        <v>183</v>
      </c>
      <c r="K19" s="219" t="s">
        <v>461</v>
      </c>
      <c r="L19" s="274"/>
      <c r="M19" s="216" t="str">
        <f t="shared" si="8"/>
        <v>N/A</v>
      </c>
      <c r="N19" s="210" t="s">
        <v>213</v>
      </c>
      <c r="O19" s="345" t="s">
        <v>214</v>
      </c>
      <c r="P19" s="345" t="s">
        <v>214</v>
      </c>
      <c r="Q19" s="345" t="s">
        <v>214</v>
      </c>
      <c r="R19" s="349" t="s">
        <v>214</v>
      </c>
      <c r="S19" s="345" t="s">
        <v>214</v>
      </c>
      <c r="T19" s="276">
        <f t="shared" si="5"/>
        <v>1</v>
      </c>
      <c r="U19" s="287">
        <f t="shared" si="6"/>
        <v>0</v>
      </c>
      <c r="V19" s="287">
        <f t="shared" si="7"/>
        <v>1</v>
      </c>
      <c r="W19" s="287">
        <f t="shared" si="4"/>
        <v>1</v>
      </c>
    </row>
    <row r="20" spans="1:25" s="287" customFormat="1" ht="134.65" customHeight="1" x14ac:dyDescent="0.2">
      <c r="A20" s="215" t="s">
        <v>462</v>
      </c>
      <c r="B20" s="210" t="s">
        <v>208</v>
      </c>
      <c r="C20" s="210" t="s">
        <v>208</v>
      </c>
      <c r="D20" s="210" t="s">
        <v>208</v>
      </c>
      <c r="E20" s="217" t="s">
        <v>208</v>
      </c>
      <c r="F20" s="307" t="s">
        <v>463</v>
      </c>
      <c r="G20" s="350">
        <v>1</v>
      </c>
      <c r="H20" s="307" t="s">
        <v>464</v>
      </c>
      <c r="I20" s="344" t="s">
        <v>465</v>
      </c>
      <c r="J20" s="210" t="s">
        <v>183</v>
      </c>
      <c r="K20" s="344" t="s">
        <v>466</v>
      </c>
      <c r="L20" s="274"/>
      <c r="M20" s="216" t="str">
        <f t="shared" si="8"/>
        <v>N/A</v>
      </c>
      <c r="N20" s="210" t="s">
        <v>213</v>
      </c>
      <c r="O20" s="345" t="s">
        <v>214</v>
      </c>
      <c r="P20" s="345" t="s">
        <v>214</v>
      </c>
      <c r="Q20" s="345" t="s">
        <v>214</v>
      </c>
      <c r="R20" s="345" t="s">
        <v>214</v>
      </c>
      <c r="S20" s="345" t="s">
        <v>214</v>
      </c>
      <c r="T20" s="276">
        <f t="shared" si="5"/>
        <v>1</v>
      </c>
      <c r="U20" s="287">
        <f t="shared" si="6"/>
        <v>0</v>
      </c>
      <c r="V20" s="287">
        <f t="shared" si="7"/>
        <v>1</v>
      </c>
      <c r="W20" s="287">
        <f t="shared" si="4"/>
        <v>1</v>
      </c>
    </row>
    <row r="21" spans="1:25" s="287" customFormat="1" ht="205.4" customHeight="1" x14ac:dyDescent="0.2">
      <c r="A21" s="215" t="s">
        <v>467</v>
      </c>
      <c r="B21" s="210" t="s">
        <v>208</v>
      </c>
      <c r="C21" s="210" t="s">
        <v>208</v>
      </c>
      <c r="D21" s="210" t="s">
        <v>208</v>
      </c>
      <c r="E21" s="217" t="s">
        <v>208</v>
      </c>
      <c r="F21" s="307" t="s">
        <v>468</v>
      </c>
      <c r="G21" s="350">
        <v>1</v>
      </c>
      <c r="H21" s="307" t="s">
        <v>469</v>
      </c>
      <c r="I21" s="216" t="s">
        <v>470</v>
      </c>
      <c r="J21" s="215" t="s">
        <v>182</v>
      </c>
      <c r="K21" s="216" t="s">
        <v>471</v>
      </c>
      <c r="L21" s="274"/>
      <c r="M21" s="216" t="str">
        <f t="shared" si="8"/>
        <v>N/A</v>
      </c>
      <c r="N21" s="210" t="s">
        <v>213</v>
      </c>
      <c r="O21" s="345" t="s">
        <v>214</v>
      </c>
      <c r="P21" s="345" t="s">
        <v>214</v>
      </c>
      <c r="Q21" s="345" t="s">
        <v>214</v>
      </c>
      <c r="R21" s="345" t="s">
        <v>214</v>
      </c>
      <c r="S21" s="345" t="s">
        <v>214</v>
      </c>
      <c r="T21" s="276">
        <f t="shared" si="5"/>
        <v>1</v>
      </c>
      <c r="U21" s="287">
        <f t="shared" si="6"/>
        <v>0</v>
      </c>
      <c r="V21" s="287">
        <f t="shared" si="7"/>
        <v>1</v>
      </c>
      <c r="W21" s="287">
        <f t="shared" si="4"/>
        <v>1</v>
      </c>
    </row>
    <row r="22" spans="1:25" s="287" customFormat="1" ht="50.1" x14ac:dyDescent="0.2">
      <c r="A22" s="215" t="s">
        <v>472</v>
      </c>
      <c r="B22" s="210" t="s">
        <v>208</v>
      </c>
      <c r="C22" s="210" t="s">
        <v>208</v>
      </c>
      <c r="D22" s="210" t="s">
        <v>208</v>
      </c>
      <c r="E22" s="217" t="s">
        <v>208</v>
      </c>
      <c r="F22" s="307" t="s">
        <v>473</v>
      </c>
      <c r="G22" s="350" t="s">
        <v>474</v>
      </c>
      <c r="H22" s="307" t="s">
        <v>475</v>
      </c>
      <c r="I22" s="344" t="s">
        <v>476</v>
      </c>
      <c r="J22" s="210" t="s">
        <v>183</v>
      </c>
      <c r="K22" s="344" t="s">
        <v>477</v>
      </c>
      <c r="L22" s="274"/>
      <c r="M22" s="216" t="str">
        <f t="shared" si="8"/>
        <v>N/A</v>
      </c>
      <c r="N22" s="210" t="s">
        <v>213</v>
      </c>
      <c r="O22" s="345" t="s">
        <v>214</v>
      </c>
      <c r="P22" s="345" t="s">
        <v>214</v>
      </c>
      <c r="Q22" s="345" t="s">
        <v>214</v>
      </c>
      <c r="R22" s="345" t="s">
        <v>214</v>
      </c>
      <c r="S22" s="345" t="s">
        <v>214</v>
      </c>
      <c r="T22" s="276">
        <f t="shared" si="5"/>
        <v>1</v>
      </c>
      <c r="U22" s="287">
        <f t="shared" si="6"/>
        <v>0</v>
      </c>
      <c r="V22" s="287">
        <f t="shared" si="7"/>
        <v>1</v>
      </c>
      <c r="W22" s="287">
        <f t="shared" si="4"/>
        <v>1</v>
      </c>
    </row>
    <row r="23" spans="1:25" s="287" customFormat="1" ht="108.95" customHeight="1" x14ac:dyDescent="0.2">
      <c r="A23" s="215" t="s">
        <v>478</v>
      </c>
      <c r="B23" s="210" t="s">
        <v>208</v>
      </c>
      <c r="C23" s="210" t="s">
        <v>208</v>
      </c>
      <c r="D23" s="210" t="s">
        <v>208</v>
      </c>
      <c r="E23" s="217" t="s">
        <v>208</v>
      </c>
      <c r="F23" s="307" t="s">
        <v>473</v>
      </c>
      <c r="G23" s="350" t="s">
        <v>479</v>
      </c>
      <c r="H23" s="307" t="s">
        <v>480</v>
      </c>
      <c r="I23" s="216" t="s">
        <v>481</v>
      </c>
      <c r="J23" s="215" t="s">
        <v>183</v>
      </c>
      <c r="K23" s="216" t="s">
        <v>482</v>
      </c>
      <c r="L23" s="274"/>
      <c r="M23" s="216" t="str">
        <f t="shared" si="8"/>
        <v>N/A</v>
      </c>
      <c r="N23" s="210" t="s">
        <v>213</v>
      </c>
      <c r="O23" s="345" t="s">
        <v>214</v>
      </c>
      <c r="P23" s="345" t="s">
        <v>214</v>
      </c>
      <c r="Q23" s="345" t="s">
        <v>214</v>
      </c>
      <c r="R23" s="345" t="s">
        <v>214</v>
      </c>
      <c r="S23" s="345" t="s">
        <v>214</v>
      </c>
      <c r="T23" s="276">
        <f t="shared" si="5"/>
        <v>1</v>
      </c>
      <c r="U23" s="287">
        <f t="shared" si="6"/>
        <v>0</v>
      </c>
      <c r="V23" s="287">
        <f t="shared" si="7"/>
        <v>1</v>
      </c>
      <c r="W23" s="287">
        <f t="shared" si="4"/>
        <v>1</v>
      </c>
    </row>
    <row r="24" spans="1:25" s="287" customFormat="1" ht="101" customHeight="1" x14ac:dyDescent="0.2">
      <c r="A24" s="215" t="s">
        <v>483</v>
      </c>
      <c r="B24" s="210" t="s">
        <v>208</v>
      </c>
      <c r="C24" s="210" t="s">
        <v>208</v>
      </c>
      <c r="D24" s="210" t="s">
        <v>208</v>
      </c>
      <c r="E24" s="217" t="s">
        <v>208</v>
      </c>
      <c r="F24" s="307" t="s">
        <v>473</v>
      </c>
      <c r="G24" s="350" t="s">
        <v>484</v>
      </c>
      <c r="H24" s="307" t="s">
        <v>485</v>
      </c>
      <c r="I24" s="216" t="s">
        <v>486</v>
      </c>
      <c r="J24" s="210" t="s">
        <v>183</v>
      </c>
      <c r="K24" s="216" t="s">
        <v>487</v>
      </c>
      <c r="L24" s="274"/>
      <c r="M24" s="216" t="str">
        <f t="shared" si="8"/>
        <v>N/A</v>
      </c>
      <c r="N24" s="210" t="s">
        <v>213</v>
      </c>
      <c r="O24" s="345" t="s">
        <v>214</v>
      </c>
      <c r="P24" s="345" t="s">
        <v>214</v>
      </c>
      <c r="Q24" s="345" t="s">
        <v>214</v>
      </c>
      <c r="R24" s="345" t="s">
        <v>214</v>
      </c>
      <c r="S24" s="345" t="s">
        <v>214</v>
      </c>
      <c r="T24" s="276">
        <f t="shared" si="5"/>
        <v>1</v>
      </c>
      <c r="U24" s="287">
        <f t="shared" si="6"/>
        <v>0</v>
      </c>
      <c r="V24" s="287">
        <f t="shared" si="7"/>
        <v>1</v>
      </c>
      <c r="W24" s="287">
        <f t="shared" si="4"/>
        <v>1</v>
      </c>
    </row>
    <row r="25" spans="1:25" s="287" customFormat="1" ht="30.05" customHeight="1" x14ac:dyDescent="0.2">
      <c r="A25" s="215" t="s">
        <v>488</v>
      </c>
      <c r="B25" s="210" t="s">
        <v>208</v>
      </c>
      <c r="C25" s="210" t="s">
        <v>208</v>
      </c>
      <c r="D25" s="210" t="s">
        <v>208</v>
      </c>
      <c r="E25" s="217" t="s">
        <v>208</v>
      </c>
      <c r="F25" s="307" t="s">
        <v>473</v>
      </c>
      <c r="G25" s="350" t="s">
        <v>489</v>
      </c>
      <c r="H25" s="307" t="s">
        <v>490</v>
      </c>
      <c r="I25" s="216" t="s">
        <v>491</v>
      </c>
      <c r="J25" s="210" t="s">
        <v>183</v>
      </c>
      <c r="K25" s="216" t="s">
        <v>492</v>
      </c>
      <c r="L25" s="274"/>
      <c r="M25" s="216" t="str">
        <f t="shared" si="8"/>
        <v>N/A</v>
      </c>
      <c r="N25" s="210" t="s">
        <v>213</v>
      </c>
      <c r="O25" s="345" t="s">
        <v>214</v>
      </c>
      <c r="P25" s="345" t="s">
        <v>214</v>
      </c>
      <c r="Q25" s="345" t="s">
        <v>214</v>
      </c>
      <c r="R25" s="345" t="s">
        <v>214</v>
      </c>
      <c r="S25" s="345" t="s">
        <v>214</v>
      </c>
      <c r="T25" s="276">
        <f t="shared" si="5"/>
        <v>1</v>
      </c>
      <c r="U25" s="287">
        <f t="shared" si="6"/>
        <v>0</v>
      </c>
      <c r="V25" s="287">
        <f t="shared" si="7"/>
        <v>1</v>
      </c>
      <c r="W25" s="287">
        <f t="shared" si="4"/>
        <v>1</v>
      </c>
    </row>
    <row r="26" spans="1:25" s="287" customFormat="1" ht="59.5" customHeight="1" x14ac:dyDescent="0.2">
      <c r="A26" s="215" t="s">
        <v>493</v>
      </c>
      <c r="B26" s="210" t="s">
        <v>208</v>
      </c>
      <c r="C26" s="210" t="s">
        <v>208</v>
      </c>
      <c r="D26" s="210" t="s">
        <v>208</v>
      </c>
      <c r="E26" s="217" t="s">
        <v>208</v>
      </c>
      <c r="F26" s="307" t="s">
        <v>473</v>
      </c>
      <c r="G26" s="350" t="s">
        <v>494</v>
      </c>
      <c r="H26" s="307" t="s">
        <v>495</v>
      </c>
      <c r="I26" s="216" t="s">
        <v>496</v>
      </c>
      <c r="J26" s="210" t="s">
        <v>182</v>
      </c>
      <c r="K26" s="216" t="s">
        <v>497</v>
      </c>
      <c r="L26" s="274"/>
      <c r="M26" s="216" t="str">
        <f t="shared" si="8"/>
        <v>N/A</v>
      </c>
      <c r="N26" s="210" t="s">
        <v>213</v>
      </c>
      <c r="O26" s="345" t="s">
        <v>214</v>
      </c>
      <c r="P26" s="345" t="s">
        <v>214</v>
      </c>
      <c r="Q26" s="345" t="s">
        <v>214</v>
      </c>
      <c r="R26" s="345" t="s">
        <v>214</v>
      </c>
      <c r="S26" s="345" t="s">
        <v>214</v>
      </c>
      <c r="T26" s="276">
        <f t="shared" si="5"/>
        <v>1</v>
      </c>
      <c r="U26" s="287">
        <f t="shared" si="6"/>
        <v>0</v>
      </c>
      <c r="V26" s="287">
        <f t="shared" si="7"/>
        <v>1</v>
      </c>
      <c r="W26" s="287">
        <f t="shared" si="4"/>
        <v>1</v>
      </c>
    </row>
    <row r="27" spans="1:25" s="287" customFormat="1" ht="45.25" customHeight="1" x14ac:dyDescent="0.2">
      <c r="A27" s="215" t="s">
        <v>498</v>
      </c>
      <c r="B27" s="210" t="s">
        <v>208</v>
      </c>
      <c r="C27" s="210" t="s">
        <v>208</v>
      </c>
      <c r="D27" s="210" t="s">
        <v>208</v>
      </c>
      <c r="E27" s="217" t="s">
        <v>208</v>
      </c>
      <c r="F27" s="307" t="s">
        <v>473</v>
      </c>
      <c r="G27" s="350" t="s">
        <v>499</v>
      </c>
      <c r="H27" s="307" t="s">
        <v>500</v>
      </c>
      <c r="I27" s="216" t="s">
        <v>501</v>
      </c>
      <c r="J27" s="210" t="s">
        <v>183</v>
      </c>
      <c r="K27" s="216" t="s">
        <v>502</v>
      </c>
      <c r="L27" s="274"/>
      <c r="M27" s="216" t="str">
        <f t="shared" si="8"/>
        <v>N/A</v>
      </c>
      <c r="N27" s="210" t="s">
        <v>213</v>
      </c>
      <c r="O27" s="345" t="s">
        <v>214</v>
      </c>
      <c r="P27" s="345" t="s">
        <v>214</v>
      </c>
      <c r="Q27" s="345" t="s">
        <v>214</v>
      </c>
      <c r="R27" s="345" t="s">
        <v>214</v>
      </c>
      <c r="S27" s="345" t="s">
        <v>214</v>
      </c>
      <c r="T27" s="276">
        <f t="shared" si="5"/>
        <v>1</v>
      </c>
      <c r="U27" s="287">
        <f t="shared" si="6"/>
        <v>0</v>
      </c>
      <c r="V27" s="287">
        <f t="shared" si="7"/>
        <v>1</v>
      </c>
      <c r="W27" s="287">
        <f t="shared" si="4"/>
        <v>1</v>
      </c>
    </row>
    <row r="28" spans="1:25" s="287" customFormat="1" ht="73.900000000000006" customHeight="1" x14ac:dyDescent="0.2">
      <c r="A28" s="215" t="s">
        <v>503</v>
      </c>
      <c r="B28" s="210" t="s">
        <v>208</v>
      </c>
      <c r="C28" s="210" t="s">
        <v>208</v>
      </c>
      <c r="D28" s="210" t="s">
        <v>208</v>
      </c>
      <c r="E28" s="217" t="s">
        <v>208</v>
      </c>
      <c r="F28" s="307" t="s">
        <v>504</v>
      </c>
      <c r="G28" s="350">
        <v>1</v>
      </c>
      <c r="H28" s="307" t="s">
        <v>505</v>
      </c>
      <c r="I28" s="216" t="s">
        <v>506</v>
      </c>
      <c r="J28" s="215" t="s">
        <v>182</v>
      </c>
      <c r="K28" s="216" t="s">
        <v>507</v>
      </c>
      <c r="L28" s="274"/>
      <c r="M28" s="216" t="str">
        <f t="shared" si="8"/>
        <v>N/A</v>
      </c>
      <c r="N28" s="210" t="s">
        <v>213</v>
      </c>
      <c r="O28" s="345" t="s">
        <v>214</v>
      </c>
      <c r="P28" s="345" t="s">
        <v>214</v>
      </c>
      <c r="Q28" s="345" t="s">
        <v>214</v>
      </c>
      <c r="R28" s="345" t="s">
        <v>214</v>
      </c>
      <c r="S28" s="345" t="s">
        <v>214</v>
      </c>
      <c r="T28" s="276">
        <f t="shared" si="5"/>
        <v>1</v>
      </c>
      <c r="U28" s="287">
        <f t="shared" si="6"/>
        <v>0</v>
      </c>
      <c r="V28" s="287">
        <f t="shared" si="7"/>
        <v>1</v>
      </c>
      <c r="W28" s="287">
        <f t="shared" si="4"/>
        <v>1</v>
      </c>
    </row>
    <row r="29" spans="1:25" s="287" customFormat="1" ht="37.6" x14ac:dyDescent="0.2">
      <c r="A29" s="254" t="s">
        <v>508</v>
      </c>
      <c r="B29" s="306" t="s">
        <v>208</v>
      </c>
      <c r="C29" s="306" t="s">
        <v>208</v>
      </c>
      <c r="D29" s="306" t="s">
        <v>208</v>
      </c>
      <c r="E29" s="351" t="s">
        <v>208</v>
      </c>
      <c r="F29" s="352" t="s">
        <v>509</v>
      </c>
      <c r="G29" s="353">
        <v>1</v>
      </c>
      <c r="H29" s="352" t="s">
        <v>510</v>
      </c>
      <c r="I29" s="308" t="s">
        <v>511</v>
      </c>
      <c r="J29" s="306" t="s">
        <v>183</v>
      </c>
      <c r="K29" s="308" t="s">
        <v>512</v>
      </c>
      <c r="L29" s="274"/>
      <c r="M29" s="244" t="str">
        <f t="shared" si="8"/>
        <v>N/A</v>
      </c>
      <c r="N29" s="306" t="s">
        <v>213</v>
      </c>
      <c r="O29" s="354" t="s">
        <v>214</v>
      </c>
      <c r="P29" s="354" t="s">
        <v>214</v>
      </c>
      <c r="Q29" s="354" t="s">
        <v>214</v>
      </c>
      <c r="R29" s="354" t="s">
        <v>214</v>
      </c>
      <c r="S29" s="354" t="s">
        <v>214</v>
      </c>
      <c r="T29" s="276">
        <f t="shared" si="5"/>
        <v>1</v>
      </c>
      <c r="U29" s="287">
        <f t="shared" si="6"/>
        <v>0</v>
      </c>
      <c r="V29" s="287">
        <f t="shared" si="7"/>
        <v>1</v>
      </c>
      <c r="W29" s="287">
        <f>IF(ISBLANK(L29),1,0)</f>
        <v>1</v>
      </c>
    </row>
    <row r="30" spans="1:25" hidden="1" x14ac:dyDescent="0.2">
      <c r="W30" s="287">
        <f>SUM(W15:W29)</f>
        <v>15</v>
      </c>
      <c r="Y30" s="287">
        <f>COUNTIF(N5:N29,"Maturity")</f>
        <v>2</v>
      </c>
    </row>
    <row r="31" spans="1:25" hidden="1" x14ac:dyDescent="0.2">
      <c r="L31" s="271" t="s">
        <v>364</v>
      </c>
      <c r="M31" s="272" t="str">
        <f>IF(W30&gt;0,"โปรดระวัง ท่านยังไม่ได้บันทึกผลการประเมินในข้อดังนี้","ตอบแบบประเมินครบถ้วน")</f>
        <v>โปรดระวัง ท่านยังไม่ได้บันทึกผลการประเมินในข้อดังนี้</v>
      </c>
    </row>
    <row r="32" spans="1:25" ht="74.5" hidden="1" customHeight="1" x14ac:dyDescent="0.2">
      <c r="M32" s="430" t="str">
        <f>IF(ISBLANK(L5),_xlfn.CONCAT(A5," , "),"")&amp; IF(ISBLANK(L6),_xlfn.CONCAT(A6," , "),"")&amp; IF(ISBLANK(L7),_xlfn.CONCAT(A7," , "),"")&amp; IF(ISBLANK(L8),_xlfn.CONCAT(A8," , "),"")&amp; IF(ISBLANK(L9),_xlfn.CONCAT(A9," , "),"")&amp; IF(ISBLANK(L10),_xlfn.CONCAT(A10," , "),"")&amp; IF(ISBLANK(L11),_xlfn.CONCAT(A11," , "),"")&amp; IF(ISBLANK(L12),_xlfn.CONCAT(A12," , "),"")&amp; IF(ISBLANK(L13),_xlfn.CONCAT(A13," , "),"")&amp;
IF(ISBLANK(L15),_xlfn.CONCAT(A15," , "),"")&amp;  IF(ISBLANK(L16),_xlfn.CONCAT(A16," , "),"")&amp; IF(ISBLANK(L17),_xlfn.CONCAT(A17," , "),"")&amp; IF(ISBLANK(L18),_xlfn.CONCAT(A18," , "),"")&amp; IF(ISBLANK(L19),_xlfn.CONCAT(A19," , "),"")&amp; IF(ISBLANK(L20),_xlfn.CONCAT(A20," , "),"")&amp; IF(ISBLANK(L21),_xlfn.CONCAT(A21," , "),"")&amp; IF(ISBLANK(L22),_xlfn.CONCAT(A22," , "),"")&amp; IF(ISBLANK(L23),_xlfn.CONCAT(A23," , "),"")&amp; IF(ISBLANK(L24),_xlfn.CONCAT(A24," , "),"")&amp; IF(ISBLANK(L25),_xlfn.CONCAT(A25," , "),"")&amp; IF(ISBLANK(L26),_xlfn.CONCAT(A26," , "),"")&amp; IF(ISBLANK(L27),_xlfn.CONCAT(A27," , "),"")&amp; IF(ISBLANK(L28),_xlfn.CONCAT(A28," , "),"")&amp; IF(ISBLANK(L29),A29,"")</f>
        <v>D2.2 #1 , D2.2 #2 , D2.2 #3 , D2.2 #4 , D2.2 #5 , D2.2 #6 , D2.2 #7 , D2.2 #8 , D2.2 #9 , D2.2 #10 , D2.2 #11 , D2.2 #12 , D2.2 #13 , D2.2 #14 , D2.2 #15 , D2.2 #16 , D2.2 #17 , D2.2 #18 , D2.2 #19 , D2.2 #20 , D2.2 #21 , D2.2 #22 , D2.2 #23 , D2.2 #24</v>
      </c>
    </row>
  </sheetData>
  <sheetProtection selectLockedCells="1"/>
  <autoFilter ref="A1:N32" xr:uid="{59FAF3DF-FCB9-4B42-B7B0-51B9BDEA3D41}">
    <filterColumn colId="4">
      <customFilters>
        <customFilter operator="notEqual" val=" "/>
      </customFilters>
    </filterColumn>
  </autoFilter>
  <conditionalFormatting sqref="M31">
    <cfRule type="containsText" dxfId="23" priority="1" operator="containsText" text="โปรดระวัง ท่านยังไม่ได้บันทึกผลการประเมินในข้อดังนี้">
      <formula>NOT(ISERROR(SEARCH("โปรดระวัง ท่านยังไม่ได้บันทึกผลการประเมินในข้อดังนี้",M31)))</formula>
    </cfRule>
    <cfRule type="containsText" dxfId="22" priority="2" operator="containsText" text="ตอบแบบประเมินครบถ้วน">
      <formula>NOT(ISERROR(SEARCH("ตอบแบบประเมินครบถ้วน",M31)))</formula>
    </cfRule>
  </conditionalFormatting>
  <dataValidations count="3">
    <dataValidation type="list" allowBlank="1" showInputMessage="1" showErrorMessage="1" sqref="L5:L7 L15:L29 L9:L12" xr:uid="{18920265-70FA-4BDB-A630-B1A06910D0D7}">
      <formula1>"Yes,Partial,No,N/A"</formula1>
    </dataValidation>
    <dataValidation type="list" allowBlank="1" showInputMessage="1" showErrorMessage="1" sqref="L13 L8" xr:uid="{076B0004-582C-4FEC-81F3-3481A85CEB0A}">
      <formula1>"M1,M2,M3,M4,M5,N/A"</formula1>
    </dataValidation>
    <dataValidation type="list" allowBlank="1" showInputMessage="1" showErrorMessage="1" sqref="N5:N13 N15:N29" xr:uid="{7485A449-96DD-4971-B681-0FA91F5DDE76}">
      <formula1>"Yes/Partial/No, Maturity"</formula1>
    </dataValidation>
  </dataValidations>
  <pageMargins left="0.25" right="0.25" top="0.5" bottom="0.5" header="0.3" footer="0.3"/>
  <pageSetup paperSize="9" scale="70" pageOrder="overThenDown" orientation="landscape" horizontalDpi="1200" verticalDpi="1200" r:id="rId1"/>
  <headerFooter>
    <oddHeader>&amp;L&amp;"TH Sarabun New,Regular"&amp;14แนวทางการประเมินสำหรับผู้ประกอบธุรกิจภายใต้หน่วยงานกำกับดูแล (IT Audit Program)&amp;R&amp;"TH Sarabun New,Regular"&amp;14Authorised Restricted Use - Confidential</oddHeader>
    <oddFooter>&amp;L&amp;"TH Sarabun New,Regular"&amp;14หมวด 2.2 การบริหารจัดการบุคลากรที่ปฏิบัติงานด้าน IT&amp;R&amp;"TH Sarabun New,Regular"&amp;14&amp;P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EEF11F-3861-4E22-A57B-CA61CEB82B60}">
  <sheetPr codeName="Sheet14">
    <tabColor theme="9" tint="0.39997558519241921"/>
  </sheetPr>
  <dimension ref="A1:Z12"/>
  <sheetViews>
    <sheetView zoomScaleNormal="100" workbookViewId="0">
      <pane ySplit="1" topLeftCell="A7" activePane="bottomLeft" state="frozen"/>
      <selection pane="bottomLeft" activeCell="I5" sqref="I5"/>
    </sheetView>
  </sheetViews>
  <sheetFormatPr defaultColWidth="8.19921875" defaultRowHeight="12.55" x14ac:dyDescent="0.2"/>
  <cols>
    <col min="1" max="1" width="10.19921875" style="287" customWidth="1"/>
    <col min="2" max="4" width="9.19921875" style="276" customWidth="1"/>
    <col min="5" max="5" width="9.19921875" style="287" customWidth="1"/>
    <col min="6" max="7" width="15.19921875" style="356" customWidth="1"/>
    <col min="8" max="8" width="18.19921875" style="356" customWidth="1"/>
    <col min="9" max="9" width="50.19921875" style="287" customWidth="1"/>
    <col min="10" max="10" width="20.19921875" style="276" customWidth="1"/>
    <col min="11" max="11" width="120.19921875" style="287" customWidth="1"/>
    <col min="12" max="12" width="18.69921875" style="276" customWidth="1"/>
    <col min="13" max="13" width="50.69921875" style="287" customWidth="1"/>
    <col min="14" max="14" width="32.19921875" style="287" bestFit="1" customWidth="1"/>
    <col min="15" max="19" width="50.69921875" style="368" customWidth="1"/>
    <col min="20" max="20" width="38.19921875" style="287" hidden="1" customWidth="1"/>
    <col min="21" max="26" width="8.19921875" style="287" hidden="1" customWidth="1"/>
    <col min="27" max="16384" width="8.19921875" style="287"/>
  </cols>
  <sheetData>
    <row r="1" spans="1:25" s="276" customFormat="1" ht="37.6" x14ac:dyDescent="0.2">
      <c r="A1" s="198" t="s">
        <v>181</v>
      </c>
      <c r="B1" s="199" t="s">
        <v>182</v>
      </c>
      <c r="C1" s="200" t="s">
        <v>183</v>
      </c>
      <c r="D1" s="201" t="s">
        <v>184</v>
      </c>
      <c r="E1" s="202" t="s">
        <v>185</v>
      </c>
      <c r="F1" s="198" t="s">
        <v>186</v>
      </c>
      <c r="G1" s="203" t="s">
        <v>187</v>
      </c>
      <c r="H1" s="204" t="s">
        <v>188</v>
      </c>
      <c r="I1" s="205" t="s">
        <v>189</v>
      </c>
      <c r="J1" s="206" t="s">
        <v>190</v>
      </c>
      <c r="K1" s="206" t="s">
        <v>191</v>
      </c>
      <c r="L1" s="206" t="s">
        <v>192</v>
      </c>
      <c r="M1" s="206" t="s">
        <v>111</v>
      </c>
      <c r="N1" s="206" t="s">
        <v>193</v>
      </c>
      <c r="O1" s="207" t="s">
        <v>194</v>
      </c>
      <c r="P1" s="207" t="s">
        <v>195</v>
      </c>
      <c r="Q1" s="208" t="s">
        <v>196</v>
      </c>
      <c r="R1" s="208" t="s">
        <v>197</v>
      </c>
      <c r="S1" s="207" t="s">
        <v>198</v>
      </c>
    </row>
    <row r="2" spans="1:25" x14ac:dyDescent="0.2">
      <c r="A2" s="359"/>
      <c r="B2" s="359"/>
      <c r="C2" s="359"/>
      <c r="D2" s="359"/>
      <c r="E2" s="359"/>
      <c r="F2" s="359" t="s">
        <v>365</v>
      </c>
      <c r="G2" s="359"/>
      <c r="H2" s="359"/>
      <c r="I2" s="359"/>
      <c r="J2" s="359"/>
      <c r="K2" s="359"/>
      <c r="L2" s="359"/>
      <c r="M2" s="359"/>
      <c r="N2" s="359"/>
      <c r="O2" s="284" t="s">
        <v>200</v>
      </c>
      <c r="P2" s="284" t="s">
        <v>201</v>
      </c>
      <c r="Q2" s="284" t="s">
        <v>202</v>
      </c>
      <c r="R2" s="284" t="s">
        <v>203</v>
      </c>
      <c r="S2" s="284" t="s">
        <v>204</v>
      </c>
    </row>
    <row r="3" spans="1:25" s="296" customFormat="1" x14ac:dyDescent="0.2">
      <c r="A3" s="360"/>
      <c r="B3" s="360"/>
      <c r="C3" s="360"/>
      <c r="D3" s="360"/>
      <c r="E3" s="360"/>
      <c r="F3" s="360" t="s">
        <v>513</v>
      </c>
      <c r="G3" s="360"/>
      <c r="H3" s="360"/>
      <c r="I3" s="360"/>
      <c r="J3" s="360"/>
      <c r="K3" s="360"/>
      <c r="L3" s="360"/>
      <c r="M3" s="360"/>
      <c r="N3" s="360"/>
      <c r="O3" s="360"/>
      <c r="P3" s="360"/>
      <c r="Q3" s="360"/>
      <c r="R3" s="360"/>
      <c r="S3" s="360"/>
      <c r="T3" s="287"/>
    </row>
    <row r="4" spans="1:25" ht="150.30000000000001" x14ac:dyDescent="0.2">
      <c r="A4" s="361" t="s">
        <v>514</v>
      </c>
      <c r="B4" s="361" t="s">
        <v>208</v>
      </c>
      <c r="C4" s="361" t="s">
        <v>208</v>
      </c>
      <c r="D4" s="361" t="s">
        <v>208</v>
      </c>
      <c r="E4" s="362"/>
      <c r="F4" s="311">
        <v>3.1</v>
      </c>
      <c r="G4" s="311">
        <v>1</v>
      </c>
      <c r="H4" s="307" t="s">
        <v>515</v>
      </c>
      <c r="I4" s="240" t="s">
        <v>516</v>
      </c>
      <c r="J4" s="363" t="s">
        <v>183</v>
      </c>
      <c r="K4" s="364" t="s">
        <v>517</v>
      </c>
      <c r="L4" s="369"/>
      <c r="M4" s="240" t="str">
        <f t="shared" ref="M4:M9" si="0">IFERROR(IF(N4="Maturity",HLOOKUP(L4,$O$2:$S$200,ROW()-1,0),"N/A"),"")</f>
        <v>N/A</v>
      </c>
      <c r="N4" s="250" t="s">
        <v>213</v>
      </c>
      <c r="O4" s="344" t="s">
        <v>214</v>
      </c>
      <c r="P4" s="344" t="s">
        <v>214</v>
      </c>
      <c r="Q4" s="344" t="s">
        <v>214</v>
      </c>
      <c r="R4" s="344" t="s">
        <v>214</v>
      </c>
      <c r="S4" s="344" t="s">
        <v>214</v>
      </c>
      <c r="T4" s="276">
        <f>IF(OR(L4="Yes",L4="M3",L4="M4",L4="M5"),3,IF(OR(L4="Partial",L4="M2"),2,IF(L4="N/A",0,1)))</f>
        <v>1</v>
      </c>
      <c r="U4" s="287">
        <f>IF(L4="M4",1,IF(L4="M5",2,0))</f>
        <v>0</v>
      </c>
      <c r="V4" s="287">
        <f>T4+U4</f>
        <v>1</v>
      </c>
      <c r="W4" s="287">
        <f>IF(ISBLANK(L4),1,0)</f>
        <v>1</v>
      </c>
    </row>
    <row r="5" spans="1:25" ht="162.80000000000001" x14ac:dyDescent="0.2">
      <c r="A5" s="210" t="s">
        <v>518</v>
      </c>
      <c r="B5" s="210" t="s">
        <v>208</v>
      </c>
      <c r="C5" s="210" t="s">
        <v>208</v>
      </c>
      <c r="D5" s="210" t="s">
        <v>208</v>
      </c>
      <c r="E5" s="344"/>
      <c r="F5" s="306">
        <v>3.1</v>
      </c>
      <c r="G5" s="306">
        <v>2</v>
      </c>
      <c r="H5" s="307" t="s">
        <v>519</v>
      </c>
      <c r="I5" s="216" t="s">
        <v>520</v>
      </c>
      <c r="J5" s="365" t="s">
        <v>183</v>
      </c>
      <c r="K5" s="366" t="s">
        <v>521</v>
      </c>
      <c r="L5" s="274"/>
      <c r="M5" s="240" t="str">
        <f t="shared" si="0"/>
        <v>N/A</v>
      </c>
      <c r="N5" s="250" t="s">
        <v>213</v>
      </c>
      <c r="O5" s="344" t="s">
        <v>214</v>
      </c>
      <c r="P5" s="344" t="s">
        <v>214</v>
      </c>
      <c r="Q5" s="344" t="s">
        <v>214</v>
      </c>
      <c r="R5" s="344" t="s">
        <v>214</v>
      </c>
      <c r="S5" s="344" t="s">
        <v>214</v>
      </c>
      <c r="T5" s="276">
        <f t="shared" ref="T5:T9" si="1">IF(OR(L5="Yes",L5="M3",L5="M4",L5="M5"),3,IF(OR(L5="Partial",L5="M2"),2,IF(L5="N/A",0,1)))</f>
        <v>1</v>
      </c>
      <c r="U5" s="287">
        <f t="shared" ref="U5:U9" si="2">IF(L5="M4",1,IF(L5="M5",2,0))</f>
        <v>0</v>
      </c>
      <c r="V5" s="287">
        <f t="shared" ref="V5:V9" si="3">T5+U5</f>
        <v>1</v>
      </c>
      <c r="W5" s="287">
        <f t="shared" ref="W5:W9" si="4">IF(ISBLANK(L5),1,0)</f>
        <v>1</v>
      </c>
    </row>
    <row r="6" spans="1:25" ht="125.25" x14ac:dyDescent="0.2">
      <c r="A6" s="210" t="s">
        <v>522</v>
      </c>
      <c r="B6" s="210" t="s">
        <v>208</v>
      </c>
      <c r="C6" s="210" t="s">
        <v>208</v>
      </c>
      <c r="D6" s="210" t="s">
        <v>208</v>
      </c>
      <c r="E6" s="344"/>
      <c r="F6" s="307">
        <v>3.1</v>
      </c>
      <c r="G6" s="307">
        <v>3</v>
      </c>
      <c r="H6" s="307" t="s">
        <v>523</v>
      </c>
      <c r="I6" s="216" t="s">
        <v>524</v>
      </c>
      <c r="J6" s="365" t="s">
        <v>183</v>
      </c>
      <c r="K6" s="216" t="s">
        <v>525</v>
      </c>
      <c r="L6" s="274"/>
      <c r="M6" s="240" t="str">
        <f t="shared" si="0"/>
        <v>N/A</v>
      </c>
      <c r="N6" s="250" t="s">
        <v>213</v>
      </c>
      <c r="O6" s="216" t="s">
        <v>214</v>
      </c>
      <c r="P6" s="216" t="s">
        <v>214</v>
      </c>
      <c r="Q6" s="216" t="s">
        <v>214</v>
      </c>
      <c r="R6" s="216" t="s">
        <v>214</v>
      </c>
      <c r="S6" s="216" t="s">
        <v>214</v>
      </c>
      <c r="T6" s="276">
        <f t="shared" si="1"/>
        <v>1</v>
      </c>
      <c r="U6" s="287">
        <f t="shared" si="2"/>
        <v>0</v>
      </c>
      <c r="V6" s="287">
        <f t="shared" si="3"/>
        <v>1</v>
      </c>
      <c r="W6" s="287">
        <f t="shared" si="4"/>
        <v>1</v>
      </c>
    </row>
    <row r="7" spans="1:25" ht="87.65" x14ac:dyDescent="0.2">
      <c r="A7" s="210" t="s">
        <v>526</v>
      </c>
      <c r="B7" s="210" t="s">
        <v>208</v>
      </c>
      <c r="C7" s="210" t="s">
        <v>208</v>
      </c>
      <c r="D7" s="210" t="s">
        <v>208</v>
      </c>
      <c r="E7" s="344"/>
      <c r="F7" s="307">
        <v>3.1</v>
      </c>
      <c r="G7" s="307">
        <v>4</v>
      </c>
      <c r="H7" s="307" t="s">
        <v>527</v>
      </c>
      <c r="I7" s="216" t="s">
        <v>528</v>
      </c>
      <c r="J7" s="367" t="s">
        <v>183</v>
      </c>
      <c r="K7" s="216" t="s">
        <v>529</v>
      </c>
      <c r="L7" s="274"/>
      <c r="M7" s="240" t="str">
        <f t="shared" si="0"/>
        <v/>
      </c>
      <c r="N7" s="210" t="s">
        <v>219</v>
      </c>
      <c r="O7" s="234" t="s">
        <v>530</v>
      </c>
      <c r="P7" s="234" t="s">
        <v>531</v>
      </c>
      <c r="Q7" s="234" t="s">
        <v>532</v>
      </c>
      <c r="R7" s="234" t="s">
        <v>533</v>
      </c>
      <c r="S7" s="234" t="s">
        <v>534</v>
      </c>
      <c r="T7" s="276">
        <f t="shared" si="1"/>
        <v>1</v>
      </c>
      <c r="U7" s="287">
        <f t="shared" si="2"/>
        <v>0</v>
      </c>
      <c r="V7" s="287">
        <f t="shared" si="3"/>
        <v>1</v>
      </c>
      <c r="W7" s="287">
        <f t="shared" si="4"/>
        <v>1</v>
      </c>
    </row>
    <row r="8" spans="1:25" ht="37.6" x14ac:dyDescent="0.2">
      <c r="A8" s="210" t="s">
        <v>535</v>
      </c>
      <c r="B8" s="210" t="s">
        <v>208</v>
      </c>
      <c r="C8" s="210" t="s">
        <v>208</v>
      </c>
      <c r="D8" s="210" t="s">
        <v>208</v>
      </c>
      <c r="E8" s="344"/>
      <c r="F8" s="307">
        <v>3.2</v>
      </c>
      <c r="G8" s="307">
        <v>1</v>
      </c>
      <c r="H8" s="307" t="s">
        <v>536</v>
      </c>
      <c r="I8" s="216" t="s">
        <v>537</v>
      </c>
      <c r="J8" s="365" t="s">
        <v>183</v>
      </c>
      <c r="K8" s="216" t="s">
        <v>538</v>
      </c>
      <c r="L8" s="274"/>
      <c r="M8" s="240" t="str">
        <f t="shared" si="0"/>
        <v>N/A</v>
      </c>
      <c r="N8" s="210" t="s">
        <v>213</v>
      </c>
      <c r="O8" s="234" t="s">
        <v>214</v>
      </c>
      <c r="P8" s="234" t="s">
        <v>214</v>
      </c>
      <c r="Q8" s="234" t="s">
        <v>214</v>
      </c>
      <c r="R8" s="234" t="s">
        <v>214</v>
      </c>
      <c r="S8" s="234" t="s">
        <v>214</v>
      </c>
      <c r="T8" s="276">
        <f t="shared" si="1"/>
        <v>1</v>
      </c>
      <c r="U8" s="287">
        <f t="shared" si="2"/>
        <v>0</v>
      </c>
      <c r="V8" s="287">
        <f t="shared" si="3"/>
        <v>1</v>
      </c>
      <c r="W8" s="287">
        <f t="shared" si="4"/>
        <v>1</v>
      </c>
    </row>
    <row r="9" spans="1:25" ht="150.30000000000001" x14ac:dyDescent="0.2">
      <c r="A9" s="210" t="s">
        <v>539</v>
      </c>
      <c r="B9" s="210" t="s">
        <v>208</v>
      </c>
      <c r="C9" s="210" t="s">
        <v>208</v>
      </c>
      <c r="D9" s="210" t="s">
        <v>208</v>
      </c>
      <c r="E9" s="344"/>
      <c r="F9" s="307">
        <v>3.3</v>
      </c>
      <c r="G9" s="307">
        <v>1</v>
      </c>
      <c r="H9" s="307" t="s">
        <v>540</v>
      </c>
      <c r="I9" s="216" t="s">
        <v>541</v>
      </c>
      <c r="J9" s="213" t="s">
        <v>184</v>
      </c>
      <c r="K9" s="216" t="s">
        <v>542</v>
      </c>
      <c r="L9" s="274"/>
      <c r="M9" s="240" t="str">
        <f t="shared" si="0"/>
        <v/>
      </c>
      <c r="N9" s="210" t="s">
        <v>219</v>
      </c>
      <c r="O9" s="216" t="s">
        <v>543</v>
      </c>
      <c r="P9" s="216" t="s">
        <v>544</v>
      </c>
      <c r="Q9" s="344" t="s">
        <v>545</v>
      </c>
      <c r="R9" s="216" t="s">
        <v>546</v>
      </c>
      <c r="S9" s="216" t="s">
        <v>547</v>
      </c>
      <c r="T9" s="276">
        <f t="shared" si="1"/>
        <v>1</v>
      </c>
      <c r="U9" s="287">
        <f t="shared" si="2"/>
        <v>0</v>
      </c>
      <c r="V9" s="287">
        <f t="shared" si="3"/>
        <v>1</v>
      </c>
      <c r="W9" s="287">
        <f t="shared" si="4"/>
        <v>1</v>
      </c>
    </row>
    <row r="10" spans="1:25" x14ac:dyDescent="0.2">
      <c r="W10" s="287">
        <f>SUM(W4:W9)</f>
        <v>6</v>
      </c>
      <c r="Y10" s="287">
        <f>COUNTIF(N4:N9,"Maturity")</f>
        <v>2</v>
      </c>
    </row>
    <row r="11" spans="1:25" x14ac:dyDescent="0.2">
      <c r="L11" s="271" t="s">
        <v>364</v>
      </c>
      <c r="M11" s="272" t="str">
        <f>IF(W10&gt;0,"โปรดระวัง ท่านยังไม่ได้บันทึกผลการประเมินในข้อดังนี้","ตอบแบบประเมินครบถ้วน")</f>
        <v>โปรดระวัง ท่านยังไม่ได้บันทึกผลการประเมินในข้อดังนี้</v>
      </c>
    </row>
    <row r="12" spans="1:25" x14ac:dyDescent="0.2">
      <c r="M12" s="313" t="str">
        <f>IF(ISBLANK(L4),_xlfn.CONCAT(A4," , "),"")&amp;IF(ISBLANK(L5),_xlfn.CONCAT(A5," , "),"")&amp; IF(ISBLANK(L6),_xlfn.CONCAT(A6," , "),"")&amp; IF(ISBLANK(L7),_xlfn.CONCAT(A7," , "),"")&amp; IF(ISBLANK(L8),_xlfn.CONCAT(A8," , "),"")&amp; IF(ISBLANK(L9),A9,"")</f>
        <v>D2.3 #1 , D2.3 #2 , D2.3 #3 , D2.3 #4 , D2.3 #5 , D2.3 #6</v>
      </c>
    </row>
  </sheetData>
  <sheetProtection selectLockedCells="1"/>
  <autoFilter ref="B1:S9" xr:uid="{BBBA22FF-CE2F-4856-A588-337612AE9AC9}"/>
  <conditionalFormatting sqref="M11">
    <cfRule type="containsText" dxfId="21" priority="1" operator="containsText" text="โปรดระวัง ท่านยังไม่ได้บันทึกผลการประเมินในข้อดังนี้">
      <formula>NOT(ISERROR(SEARCH("โปรดระวัง ท่านยังไม่ได้บันทึกผลการประเมินในข้อดังนี้",M11)))</formula>
    </cfRule>
    <cfRule type="containsText" dxfId="20" priority="2" operator="containsText" text="ตอบแบบประเมินครบถ้วน">
      <formula>NOT(ISERROR(SEARCH("ตอบแบบประเมินครบถ้วน",M11)))</formula>
    </cfRule>
  </conditionalFormatting>
  <dataValidations count="3">
    <dataValidation type="list" allowBlank="1" showInputMessage="1" showErrorMessage="1" sqref="L8 L4:L6" xr:uid="{91710ED9-97E1-4D8E-AFA1-A8CBF67F4CDB}">
      <formula1>"Yes,Partial,No,N/A"</formula1>
    </dataValidation>
    <dataValidation type="list" allowBlank="1" showInputMessage="1" showErrorMessage="1" sqref="L7 L9" xr:uid="{47A64471-04A9-4C4E-A7A9-580848D998C8}">
      <formula1>"M1,M2,M3,M4,M5,N/A"</formula1>
    </dataValidation>
    <dataValidation type="list" allowBlank="1" showInputMessage="1" showErrorMessage="1" sqref="N4:N9" xr:uid="{0472D94C-F3BA-4E99-922A-194D75404603}">
      <formula1>"Yes/Partial/No, Maturity"</formula1>
    </dataValidation>
  </dataValidations>
  <pageMargins left="0.25" right="0.25" top="0.5" bottom="0.5" header="0.3" footer="0.3"/>
  <pageSetup paperSize="9" scale="70" pageOrder="overThenDown" orientation="landscape" horizontalDpi="1200" verticalDpi="1200" r:id="rId1"/>
  <headerFooter>
    <oddHeader>&amp;L&amp;"TH Sarabun New,Regular"&amp;14แนวทางการประเมินสำหรับผู้ประกอบธุรกิจภายใต้หน่วยงานกำกับดูแล (IT Audit Program)&amp;R&amp;"TH Sarabun New,Regular"&amp;14Authorised Restricted Use - Confidential</oddHeader>
    <oddFooter>&amp;L&amp;"TH Sarabun New,Regular"&amp;14หมวด 2.4 การบริหารจัดการทรัพย์สินด้าน IT (IT Asset Management)&amp;R&amp;"TH Sarabun New,Regular"&amp;14&amp;P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14C640-5E4C-4468-9FBD-ACD6132F8418}">
  <sheetPr codeName="Sheet15">
    <tabColor theme="9" tint="0.39997558519241921"/>
  </sheetPr>
  <dimension ref="A1:Y14"/>
  <sheetViews>
    <sheetView topLeftCell="H1" zoomScale="85" zoomScaleNormal="85" workbookViewId="0">
      <pane ySplit="1" topLeftCell="A10" activePane="bottomLeft" state="frozen"/>
      <selection pane="bottomLeft" activeCell="J12" sqref="J12"/>
    </sheetView>
  </sheetViews>
  <sheetFormatPr defaultColWidth="8.19921875" defaultRowHeight="12.55" x14ac:dyDescent="0.2"/>
  <cols>
    <col min="1" max="1" width="10.19921875" style="287" customWidth="1"/>
    <col min="2" max="5" width="9.19921875" style="276" customWidth="1"/>
    <col min="6" max="7" width="15.19921875" style="356" customWidth="1"/>
    <col min="8" max="8" width="18.19921875" style="356" customWidth="1"/>
    <col min="9" max="9" width="50.19921875" style="287" customWidth="1"/>
    <col min="10" max="10" width="20.19921875" style="276" customWidth="1"/>
    <col min="11" max="11" width="120.19921875" style="287" customWidth="1"/>
    <col min="12" max="12" width="18.69921875" style="276" customWidth="1"/>
    <col min="13" max="13" width="50.69921875" style="287" customWidth="1"/>
    <col min="14" max="14" width="33.09765625" style="287" bestFit="1" customWidth="1"/>
    <col min="15" max="19" width="50.69921875" style="368" customWidth="1"/>
    <col min="20" max="20" width="27.8984375" style="287" hidden="1" customWidth="1"/>
    <col min="21" max="25" width="8.19921875" style="287" hidden="1" customWidth="1"/>
    <col min="26" max="26" width="8.19921875" style="287" customWidth="1"/>
    <col min="27" max="16384" width="8.19921875" style="287"/>
  </cols>
  <sheetData>
    <row r="1" spans="1:25" s="276" customFormat="1" ht="37.6" x14ac:dyDescent="0.2">
      <c r="A1" s="198" t="s">
        <v>181</v>
      </c>
      <c r="B1" s="199" t="s">
        <v>182</v>
      </c>
      <c r="C1" s="200" t="s">
        <v>183</v>
      </c>
      <c r="D1" s="201" t="s">
        <v>184</v>
      </c>
      <c r="E1" s="202" t="s">
        <v>185</v>
      </c>
      <c r="F1" s="198" t="s">
        <v>186</v>
      </c>
      <c r="G1" s="203" t="s">
        <v>187</v>
      </c>
      <c r="H1" s="204" t="s">
        <v>188</v>
      </c>
      <c r="I1" s="205" t="s">
        <v>189</v>
      </c>
      <c r="J1" s="206" t="s">
        <v>190</v>
      </c>
      <c r="K1" s="206" t="s">
        <v>191</v>
      </c>
      <c r="L1" s="206" t="s">
        <v>192</v>
      </c>
      <c r="M1" s="206" t="s">
        <v>111</v>
      </c>
      <c r="N1" s="206" t="s">
        <v>193</v>
      </c>
      <c r="O1" s="207" t="s">
        <v>194</v>
      </c>
      <c r="P1" s="207" t="s">
        <v>195</v>
      </c>
      <c r="Q1" s="207" t="s">
        <v>196</v>
      </c>
      <c r="R1" s="207" t="s">
        <v>197</v>
      </c>
      <c r="S1" s="207" t="s">
        <v>198</v>
      </c>
    </row>
    <row r="2" spans="1:25" s="373" customFormat="1" x14ac:dyDescent="0.2">
      <c r="A2" s="370"/>
      <c r="B2" s="370"/>
      <c r="C2" s="370"/>
      <c r="D2" s="370"/>
      <c r="E2" s="370"/>
      <c r="F2" s="370" t="s">
        <v>365</v>
      </c>
      <c r="G2" s="370"/>
      <c r="H2" s="370"/>
      <c r="I2" s="370"/>
      <c r="J2" s="370"/>
      <c r="K2" s="370"/>
      <c r="L2" s="371"/>
      <c r="M2" s="370"/>
      <c r="N2" s="370"/>
      <c r="O2" s="372" t="s">
        <v>200</v>
      </c>
      <c r="P2" s="372" t="s">
        <v>201</v>
      </c>
      <c r="Q2" s="372" t="s">
        <v>202</v>
      </c>
      <c r="R2" s="372" t="s">
        <v>203</v>
      </c>
      <c r="S2" s="372" t="s">
        <v>204</v>
      </c>
    </row>
    <row r="3" spans="1:25" s="377" customFormat="1" x14ac:dyDescent="0.25">
      <c r="A3" s="374"/>
      <c r="B3" s="374"/>
      <c r="C3" s="374"/>
      <c r="D3" s="374"/>
      <c r="E3" s="374"/>
      <c r="F3" s="374" t="s">
        <v>548</v>
      </c>
      <c r="G3" s="374"/>
      <c r="H3" s="374"/>
      <c r="I3" s="374"/>
      <c r="J3" s="374"/>
      <c r="K3" s="374"/>
      <c r="L3" s="375"/>
      <c r="M3" s="374"/>
      <c r="N3" s="374"/>
      <c r="O3" s="374"/>
      <c r="P3" s="374"/>
      <c r="Q3" s="374"/>
      <c r="R3" s="374"/>
      <c r="S3" s="376"/>
    </row>
    <row r="4" spans="1:25" ht="125.25" x14ac:dyDescent="0.2">
      <c r="A4" s="361" t="s">
        <v>549</v>
      </c>
      <c r="B4" s="361" t="s">
        <v>208</v>
      </c>
      <c r="C4" s="361" t="s">
        <v>208</v>
      </c>
      <c r="D4" s="361" t="s">
        <v>208</v>
      </c>
      <c r="E4" s="361"/>
      <c r="F4" s="311">
        <v>4.0999999999999996</v>
      </c>
      <c r="G4" s="311">
        <v>1</v>
      </c>
      <c r="H4" s="306" t="s">
        <v>550</v>
      </c>
      <c r="I4" s="378" t="s">
        <v>551</v>
      </c>
      <c r="J4" s="249" t="s">
        <v>183</v>
      </c>
      <c r="K4" s="362" t="s">
        <v>552</v>
      </c>
      <c r="L4" s="369"/>
      <c r="M4" s="240" t="str">
        <f t="shared" ref="M4:M10" si="0">IFERROR(IF(N4="Maturity",HLOOKUP(L4,$O$2:$S$201,ROW()-1,0),"N/A"),"")</f>
        <v/>
      </c>
      <c r="N4" s="361" t="s">
        <v>219</v>
      </c>
      <c r="O4" s="362" t="s">
        <v>553</v>
      </c>
      <c r="P4" s="362" t="s">
        <v>554</v>
      </c>
      <c r="Q4" s="362" t="s">
        <v>555</v>
      </c>
      <c r="R4" s="379" t="s">
        <v>556</v>
      </c>
      <c r="S4" s="380" t="s">
        <v>557</v>
      </c>
      <c r="T4" s="276">
        <f>IF(OR(L4="Yes",L4="M3",L4="M4",L4="M5"),3,IF(OR(L4="Partial",L4="M2"),2,IF(L4="N/A",0,1)))</f>
        <v>1</v>
      </c>
      <c r="U4" s="287">
        <f>IF(L4="M4",1,IF(L4="M5",2,0))</f>
        <v>0</v>
      </c>
      <c r="V4" s="287">
        <f>T4+U4</f>
        <v>1</v>
      </c>
      <c r="W4" s="287">
        <f t="shared" ref="W4:W6" si="1">IF(ISBLANK(L4),1,0)</f>
        <v>1</v>
      </c>
    </row>
    <row r="5" spans="1:25" ht="162.80000000000001" x14ac:dyDescent="0.2">
      <c r="A5" s="210" t="s">
        <v>558</v>
      </c>
      <c r="B5" s="210" t="s">
        <v>208</v>
      </c>
      <c r="C5" s="210" t="s">
        <v>208</v>
      </c>
      <c r="D5" s="210" t="s">
        <v>208</v>
      </c>
      <c r="E5" s="210"/>
      <c r="F5" s="306">
        <v>4.2</v>
      </c>
      <c r="G5" s="306">
        <v>1</v>
      </c>
      <c r="H5" s="306" t="s">
        <v>559</v>
      </c>
      <c r="I5" s="344" t="s">
        <v>560</v>
      </c>
      <c r="J5" s="210" t="s">
        <v>182</v>
      </c>
      <c r="K5" s="344" t="s">
        <v>561</v>
      </c>
      <c r="L5" s="381"/>
      <c r="M5" s="240" t="str">
        <f t="shared" si="0"/>
        <v/>
      </c>
      <c r="N5" s="210" t="s">
        <v>219</v>
      </c>
      <c r="O5" s="344" t="s">
        <v>562</v>
      </c>
      <c r="P5" s="344" t="s">
        <v>563</v>
      </c>
      <c r="Q5" s="344" t="s">
        <v>564</v>
      </c>
      <c r="R5" s="344" t="s">
        <v>565</v>
      </c>
      <c r="S5" s="344" t="s">
        <v>566</v>
      </c>
      <c r="T5" s="276">
        <f t="shared" ref="T5:T10" si="2">IF(OR(L5="Yes",L5="M3",L5="M4",L5="M5"),3,IF(OR(L5="Partial",L5="M2"),2,IF(L5="N/A",0,1)))</f>
        <v>1</v>
      </c>
      <c r="U5" s="287">
        <f t="shared" ref="U5:U10" si="3">IF(L5="M4",1,IF(L5="M5",2,0))</f>
        <v>0</v>
      </c>
      <c r="V5" s="287">
        <f t="shared" ref="V5:V10" si="4">T5+U5</f>
        <v>1</v>
      </c>
      <c r="W5" s="287">
        <f t="shared" si="1"/>
        <v>1</v>
      </c>
    </row>
    <row r="6" spans="1:25" ht="187.85" x14ac:dyDescent="0.2">
      <c r="A6" s="210" t="s">
        <v>567</v>
      </c>
      <c r="B6" s="210" t="s">
        <v>208</v>
      </c>
      <c r="C6" s="210" t="s">
        <v>208</v>
      </c>
      <c r="D6" s="210" t="s">
        <v>208</v>
      </c>
      <c r="E6" s="210"/>
      <c r="F6" s="307">
        <v>4.2</v>
      </c>
      <c r="G6" s="307">
        <v>2</v>
      </c>
      <c r="H6" s="306" t="s">
        <v>568</v>
      </c>
      <c r="I6" s="344" t="s">
        <v>569</v>
      </c>
      <c r="J6" s="210" t="s">
        <v>182</v>
      </c>
      <c r="K6" s="344" t="s">
        <v>570</v>
      </c>
      <c r="L6" s="381"/>
      <c r="M6" s="240" t="str">
        <f t="shared" si="0"/>
        <v/>
      </c>
      <c r="N6" s="210" t="s">
        <v>219</v>
      </c>
      <c r="O6" s="344" t="s">
        <v>571</v>
      </c>
      <c r="P6" s="344" t="s">
        <v>572</v>
      </c>
      <c r="Q6" s="344" t="s">
        <v>573</v>
      </c>
      <c r="R6" s="344" t="s">
        <v>574</v>
      </c>
      <c r="S6" s="344" t="s">
        <v>575</v>
      </c>
      <c r="T6" s="276">
        <f t="shared" si="2"/>
        <v>1</v>
      </c>
      <c r="U6" s="287">
        <f t="shared" si="3"/>
        <v>0</v>
      </c>
      <c r="V6" s="287">
        <f t="shared" si="4"/>
        <v>1</v>
      </c>
      <c r="W6" s="287">
        <f t="shared" si="1"/>
        <v>1</v>
      </c>
    </row>
    <row r="7" spans="1:25" ht="162.80000000000001" x14ac:dyDescent="0.2">
      <c r="A7" s="210" t="s">
        <v>576</v>
      </c>
      <c r="B7" s="210" t="s">
        <v>208</v>
      </c>
      <c r="C7" s="210" t="s">
        <v>208</v>
      </c>
      <c r="D7" s="210" t="s">
        <v>208</v>
      </c>
      <c r="E7" s="210"/>
      <c r="F7" s="307">
        <v>4.2</v>
      </c>
      <c r="G7" s="307">
        <v>3</v>
      </c>
      <c r="H7" s="306" t="s">
        <v>577</v>
      </c>
      <c r="I7" s="344" t="s">
        <v>578</v>
      </c>
      <c r="J7" s="210" t="s">
        <v>182</v>
      </c>
      <c r="K7" s="344" t="s">
        <v>579</v>
      </c>
      <c r="L7" s="381"/>
      <c r="M7" s="240" t="str">
        <f t="shared" si="0"/>
        <v>N/A</v>
      </c>
      <c r="N7" s="250" t="s">
        <v>213</v>
      </c>
      <c r="O7" s="344" t="s">
        <v>214</v>
      </c>
      <c r="P7" s="344" t="s">
        <v>214</v>
      </c>
      <c r="Q7" s="344" t="s">
        <v>214</v>
      </c>
      <c r="R7" s="344" t="s">
        <v>214</v>
      </c>
      <c r="S7" s="344" t="s">
        <v>214</v>
      </c>
      <c r="T7" s="276">
        <f t="shared" si="2"/>
        <v>1</v>
      </c>
      <c r="U7" s="287">
        <f t="shared" si="3"/>
        <v>0</v>
      </c>
      <c r="V7" s="287">
        <f t="shared" si="4"/>
        <v>1</v>
      </c>
      <c r="W7" s="287">
        <f t="shared" ref="W7:W10" si="5">IF(ISBLANK(L7),1,0)</f>
        <v>1</v>
      </c>
    </row>
    <row r="8" spans="1:25" ht="75.150000000000006" x14ac:dyDescent="0.2">
      <c r="A8" s="210" t="s">
        <v>580</v>
      </c>
      <c r="B8" s="210" t="s">
        <v>208</v>
      </c>
      <c r="C8" s="210" t="s">
        <v>208</v>
      </c>
      <c r="D8" s="210" t="s">
        <v>208</v>
      </c>
      <c r="E8" s="210"/>
      <c r="F8" s="307">
        <v>4.3</v>
      </c>
      <c r="G8" s="307">
        <v>1</v>
      </c>
      <c r="H8" s="306" t="s">
        <v>581</v>
      </c>
      <c r="I8" s="344" t="s">
        <v>582</v>
      </c>
      <c r="J8" s="210" t="s">
        <v>183</v>
      </c>
      <c r="K8" s="344" t="s">
        <v>583</v>
      </c>
      <c r="L8" s="381"/>
      <c r="M8" s="240" t="str">
        <f t="shared" si="0"/>
        <v>N/A</v>
      </c>
      <c r="N8" s="250" t="s">
        <v>213</v>
      </c>
      <c r="O8" s="344" t="s">
        <v>214</v>
      </c>
      <c r="P8" s="344" t="s">
        <v>214</v>
      </c>
      <c r="Q8" s="344" t="s">
        <v>214</v>
      </c>
      <c r="R8" s="344" t="s">
        <v>214</v>
      </c>
      <c r="S8" s="344" t="s">
        <v>214</v>
      </c>
      <c r="T8" s="276">
        <f t="shared" si="2"/>
        <v>1</v>
      </c>
      <c r="U8" s="287">
        <f t="shared" si="3"/>
        <v>0</v>
      </c>
      <c r="V8" s="287">
        <f t="shared" si="4"/>
        <v>1</v>
      </c>
      <c r="W8" s="287">
        <f t="shared" si="5"/>
        <v>1</v>
      </c>
    </row>
    <row r="9" spans="1:25" ht="37.6" x14ac:dyDescent="0.2">
      <c r="A9" s="210" t="s">
        <v>584</v>
      </c>
      <c r="B9" s="210" t="s">
        <v>208</v>
      </c>
      <c r="C9" s="210" t="s">
        <v>208</v>
      </c>
      <c r="D9" s="210" t="s">
        <v>208</v>
      </c>
      <c r="E9" s="210"/>
      <c r="F9" s="307">
        <v>4.3</v>
      </c>
      <c r="G9" s="307">
        <v>2</v>
      </c>
      <c r="H9" s="306" t="s">
        <v>585</v>
      </c>
      <c r="I9" s="344" t="s">
        <v>586</v>
      </c>
      <c r="J9" s="210" t="s">
        <v>183</v>
      </c>
      <c r="K9" s="344" t="s">
        <v>587</v>
      </c>
      <c r="L9" s="381"/>
      <c r="M9" s="240" t="str">
        <f t="shared" si="0"/>
        <v>N/A</v>
      </c>
      <c r="N9" s="250" t="s">
        <v>213</v>
      </c>
      <c r="O9" s="344" t="s">
        <v>214</v>
      </c>
      <c r="P9" s="344" t="s">
        <v>214</v>
      </c>
      <c r="Q9" s="344" t="s">
        <v>214</v>
      </c>
      <c r="R9" s="344" t="s">
        <v>214</v>
      </c>
      <c r="S9" s="344" t="s">
        <v>214</v>
      </c>
      <c r="T9" s="276">
        <f t="shared" si="2"/>
        <v>1</v>
      </c>
      <c r="U9" s="287">
        <f t="shared" si="3"/>
        <v>0</v>
      </c>
      <c r="V9" s="287">
        <f t="shared" si="4"/>
        <v>1</v>
      </c>
      <c r="W9" s="287">
        <f t="shared" si="5"/>
        <v>1</v>
      </c>
    </row>
    <row r="10" spans="1:25" ht="183.8" customHeight="1" x14ac:dyDescent="0.2">
      <c r="A10" s="210" t="s">
        <v>588</v>
      </c>
      <c r="B10" s="210" t="s">
        <v>208</v>
      </c>
      <c r="C10" s="210" t="s">
        <v>208</v>
      </c>
      <c r="D10" s="210" t="s">
        <v>208</v>
      </c>
      <c r="E10" s="210"/>
      <c r="F10" s="307">
        <v>4.4000000000000004</v>
      </c>
      <c r="G10" s="307">
        <v>1</v>
      </c>
      <c r="H10" s="306" t="s">
        <v>589</v>
      </c>
      <c r="I10" s="344" t="s">
        <v>590</v>
      </c>
      <c r="J10" s="210" t="s">
        <v>183</v>
      </c>
      <c r="K10" s="344" t="s">
        <v>591</v>
      </c>
      <c r="L10" s="381"/>
      <c r="M10" s="240" t="str">
        <f t="shared" si="0"/>
        <v>N/A</v>
      </c>
      <c r="N10" s="250" t="s">
        <v>213</v>
      </c>
      <c r="O10" s="344" t="s">
        <v>214</v>
      </c>
      <c r="P10" s="344" t="s">
        <v>214</v>
      </c>
      <c r="Q10" s="344" t="s">
        <v>214</v>
      </c>
      <c r="R10" s="344" t="s">
        <v>214</v>
      </c>
      <c r="S10" s="344" t="s">
        <v>214</v>
      </c>
      <c r="T10" s="276">
        <f t="shared" si="2"/>
        <v>1</v>
      </c>
      <c r="U10" s="287">
        <f t="shared" si="3"/>
        <v>0</v>
      </c>
      <c r="V10" s="287">
        <f t="shared" si="4"/>
        <v>1</v>
      </c>
      <c r="W10" s="287">
        <f t="shared" si="5"/>
        <v>1</v>
      </c>
    </row>
    <row r="11" spans="1:25" ht="85.15" customHeight="1" x14ac:dyDescent="0.2">
      <c r="A11" s="215" t="s">
        <v>592</v>
      </c>
      <c r="B11" s="215" t="s">
        <v>208</v>
      </c>
      <c r="C11" s="215" t="s">
        <v>208</v>
      </c>
      <c r="D11" s="215" t="s">
        <v>208</v>
      </c>
      <c r="E11" s="215"/>
      <c r="F11" s="253">
        <v>4.4000000000000004</v>
      </c>
      <c r="G11" s="253">
        <v>2</v>
      </c>
      <c r="H11" s="215" t="s">
        <v>593</v>
      </c>
      <c r="I11" s="216" t="s">
        <v>594</v>
      </c>
      <c r="J11" s="210" t="s">
        <v>182</v>
      </c>
      <c r="K11" s="216" t="s">
        <v>595</v>
      </c>
      <c r="L11" s="381"/>
      <c r="M11" s="240" t="s">
        <v>214</v>
      </c>
      <c r="N11" s="250" t="s">
        <v>213</v>
      </c>
      <c r="O11" s="344" t="s">
        <v>214</v>
      </c>
      <c r="P11" s="344" t="s">
        <v>214</v>
      </c>
      <c r="Q11" s="344" t="s">
        <v>214</v>
      </c>
      <c r="R11" s="344" t="s">
        <v>214</v>
      </c>
      <c r="S11" s="344" t="s">
        <v>214</v>
      </c>
      <c r="T11" s="276">
        <f t="shared" ref="T11" si="6">IF(OR(L11="Yes",L11="M3",L11="M4",L11="M5"),3,IF(OR(L11="Partial",L11="M2"),2,IF(L11="N/A",0,1)))</f>
        <v>1</v>
      </c>
      <c r="U11" s="287">
        <f t="shared" ref="U11" si="7">IF(L11="M4",1,IF(L11="M5",2,0))</f>
        <v>0</v>
      </c>
      <c r="V11" s="287">
        <f t="shared" ref="V11" si="8">T11+U11</f>
        <v>1</v>
      </c>
      <c r="W11" s="287">
        <f>IF(ISBLANK(L11),1,0)</f>
        <v>1</v>
      </c>
    </row>
    <row r="12" spans="1:25" x14ac:dyDescent="0.2">
      <c r="W12" s="287">
        <f>SUM(W4:W11)</f>
        <v>8</v>
      </c>
      <c r="Y12" s="287">
        <f>COUNTIF(N4:N11,"Maturity")</f>
        <v>3</v>
      </c>
    </row>
    <row r="13" spans="1:25" x14ac:dyDescent="0.2">
      <c r="L13" s="271" t="s">
        <v>364</v>
      </c>
      <c r="M13" s="272" t="str">
        <f>IF(W12&gt;0,"โปรดระวัง ท่านยังไม่ได้บันทึกผลการประเมินในข้อดังนี้","ตอบแบบประเมินครบถ้วน")</f>
        <v>โปรดระวัง ท่านยังไม่ได้บันทึกผลการประเมินในข้อดังนี้</v>
      </c>
    </row>
    <row r="14" spans="1:25" x14ac:dyDescent="0.2">
      <c r="M14" s="313" t="str">
        <f>IF(ISBLANK(L4),_xlfn.CONCAT(A4," , "),"")&amp;IF(ISBLANK(L5),_xlfn.CONCAT(A5," , "),"")&amp; IF(ISBLANK(L6),_xlfn.CONCAT(A6," , "),"")&amp; IF(ISBLANK(L7),_xlfn.CONCAT(A7," , "),"")&amp; IF(ISBLANK(L8),_xlfn.CONCAT(A8," , "),"")&amp; IF(ISBLANK(L9),_xlfn.CONCAT(A9," , "),"")&amp; IF(ISBLANK(L10),A10,"")&amp; IF(ISBLANK(L11),A11,"")</f>
        <v>D2.4 #1 , D2.4 #2 , D2.4 #3 , D2.4 #4 , D2.4 #5 , D2.4 #6 , D2.4 #7D2.4 #8</v>
      </c>
    </row>
  </sheetData>
  <sheetProtection selectLockedCells="1"/>
  <autoFilter ref="B1:S10" xr:uid="{50B9BE9C-00BE-48DC-B8EE-D71B2AA7BBF1}"/>
  <conditionalFormatting sqref="M13">
    <cfRule type="containsText" dxfId="19" priority="1" operator="containsText" text="โปรดระวัง ท่านยังไม่ได้บันทึกผลการประเมินในข้อดังนี้">
      <formula>NOT(ISERROR(SEARCH("โปรดระวัง ท่านยังไม่ได้บันทึกผลการประเมินในข้อดังนี้",M13)))</formula>
    </cfRule>
    <cfRule type="containsText" dxfId="18" priority="2" operator="containsText" text="ตอบแบบประเมินครบถ้วน">
      <formula>NOT(ISERROR(SEARCH("ตอบแบบประเมินครบถ้วน",M13)))</formula>
    </cfRule>
  </conditionalFormatting>
  <dataValidations count="3">
    <dataValidation type="list" allowBlank="1" showInputMessage="1" showErrorMessage="1" sqref="L7:L11" xr:uid="{71DE13A8-3303-47BA-9499-2D7E29E98776}">
      <formula1>"Yes,Partial,No,N/A"</formula1>
    </dataValidation>
    <dataValidation type="list" allowBlank="1" showInputMessage="1" showErrorMessage="1" sqref="L4:L6" xr:uid="{50C89E5E-8296-4E04-AB42-E38F9B0BF009}">
      <formula1>"M1,M2,M3,M4,M5,N/A"</formula1>
    </dataValidation>
    <dataValidation type="list" allowBlank="1" showInputMessage="1" showErrorMessage="1" sqref="N4:N11" xr:uid="{62B146C9-0E2E-4E59-8C07-FEE4F8D06CF8}">
      <formula1>"Yes/Partial/No, Maturity"</formula1>
    </dataValidation>
  </dataValidations>
  <pageMargins left="0.25" right="0.25" top="0.5" bottom="0.5" header="0.3" footer="0.3"/>
  <pageSetup paperSize="9" scale="70" pageOrder="overThenDown" orientation="landscape" horizontalDpi="1200" verticalDpi="1200" r:id="rId1"/>
  <headerFooter>
    <oddHeader>&amp;L&amp;"TH Sarabun New,Regular"&amp;14แนวทางการประเมินสำหรับผู้ประกอบธุรกิจภายใต้หน่วยงานกำกับดูแล (IT Audit Program)&amp;R&amp;"TH Sarabun New,Regular"&amp;14Authorised Restricted Use - Confidential</oddHeader>
    <oddFooter>&amp;L&amp;"TH Sarabun New,Regular"&amp;14หมวด 2.5 การรักษาความมั่นคงปลอดภัยของข้อมูล (Data Security)&amp;R&amp;"TH Sarabun New,Regular"&amp;14&amp;P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DA090D-40C4-4204-A7C0-8AB812873B75}">
  <sheetPr codeName="Sheet16" filterMode="1">
    <tabColor theme="9" tint="0.39997558519241921"/>
  </sheetPr>
  <dimension ref="A1:Y12"/>
  <sheetViews>
    <sheetView topLeftCell="K1" zoomScale="70" zoomScaleNormal="70" workbookViewId="0">
      <pane ySplit="1" topLeftCell="A8" activePane="bottomLeft" state="frozen"/>
      <selection pane="bottomLeft" activeCell="L5" sqref="L5"/>
    </sheetView>
  </sheetViews>
  <sheetFormatPr defaultColWidth="8.19921875" defaultRowHeight="12.55" x14ac:dyDescent="0.2"/>
  <cols>
    <col min="1" max="1" width="10.19921875" style="287" customWidth="1"/>
    <col min="2" max="5" width="9.19921875" style="276" customWidth="1"/>
    <col min="6" max="7" width="15.19921875" style="356" customWidth="1"/>
    <col min="8" max="8" width="18.19921875" style="356" customWidth="1"/>
    <col min="9" max="9" width="50.19921875" style="287" customWidth="1"/>
    <col min="10" max="10" width="20.19921875" style="276" customWidth="1"/>
    <col min="11" max="11" width="120.19921875" style="287" customWidth="1"/>
    <col min="12" max="12" width="18.69921875" style="276" customWidth="1"/>
    <col min="13" max="13" width="50.69921875" style="287" customWidth="1"/>
    <col min="14" max="14" width="35.09765625" style="287" customWidth="1"/>
    <col min="15" max="19" width="50.69921875" style="368" customWidth="1"/>
    <col min="20" max="25" width="8.19921875" style="287" hidden="1" customWidth="1"/>
    <col min="26" max="26" width="8.19921875" style="287" customWidth="1"/>
    <col min="27" max="16384" width="8.19921875" style="287"/>
  </cols>
  <sheetData>
    <row r="1" spans="1:25" s="276" customFormat="1" ht="37.6" x14ac:dyDescent="0.2">
      <c r="A1" s="198" t="s">
        <v>181</v>
      </c>
      <c r="B1" s="199" t="s">
        <v>182</v>
      </c>
      <c r="C1" s="200" t="s">
        <v>183</v>
      </c>
      <c r="D1" s="201" t="s">
        <v>184</v>
      </c>
      <c r="E1" s="202" t="s">
        <v>185</v>
      </c>
      <c r="F1" s="198" t="s">
        <v>186</v>
      </c>
      <c r="G1" s="203" t="s">
        <v>187</v>
      </c>
      <c r="H1" s="204" t="s">
        <v>188</v>
      </c>
      <c r="I1" s="205" t="s">
        <v>189</v>
      </c>
      <c r="J1" s="206" t="s">
        <v>190</v>
      </c>
      <c r="K1" s="206" t="s">
        <v>191</v>
      </c>
      <c r="L1" s="206" t="s">
        <v>192</v>
      </c>
      <c r="M1" s="206" t="s">
        <v>111</v>
      </c>
      <c r="N1" s="206" t="s">
        <v>193</v>
      </c>
      <c r="O1" s="207" t="s">
        <v>194</v>
      </c>
      <c r="P1" s="207" t="s">
        <v>195</v>
      </c>
      <c r="Q1" s="208" t="s">
        <v>196</v>
      </c>
      <c r="R1" s="208" t="s">
        <v>197</v>
      </c>
      <c r="S1" s="207" t="s">
        <v>198</v>
      </c>
    </row>
    <row r="2" spans="1:25" s="373" customFormat="1" hidden="1" x14ac:dyDescent="0.2">
      <c r="A2" s="382"/>
      <c r="B2" s="382"/>
      <c r="C2" s="382"/>
      <c r="D2" s="382"/>
      <c r="E2" s="383"/>
      <c r="F2" s="316" t="s">
        <v>365</v>
      </c>
      <c r="G2" s="384"/>
      <c r="H2" s="385"/>
      <c r="I2" s="382"/>
      <c r="J2" s="386"/>
      <c r="K2" s="386"/>
      <c r="L2" s="319"/>
      <c r="M2" s="387"/>
      <c r="N2" s="387"/>
      <c r="O2" s="388" t="s">
        <v>200</v>
      </c>
      <c r="P2" s="389" t="s">
        <v>201</v>
      </c>
      <c r="Q2" s="388" t="s">
        <v>202</v>
      </c>
      <c r="R2" s="388" t="s">
        <v>203</v>
      </c>
      <c r="S2" s="388" t="s">
        <v>204</v>
      </c>
    </row>
    <row r="3" spans="1:25" s="377" customFormat="1" hidden="1" x14ac:dyDescent="0.25">
      <c r="A3" s="390"/>
      <c r="B3" s="390"/>
      <c r="C3" s="390"/>
      <c r="D3" s="390"/>
      <c r="E3" s="390"/>
      <c r="F3" s="291" t="s">
        <v>596</v>
      </c>
      <c r="G3" s="391"/>
      <c r="H3" s="392"/>
      <c r="I3" s="390"/>
      <c r="J3" s="390"/>
      <c r="K3" s="390"/>
      <c r="L3" s="289"/>
      <c r="M3" s="390"/>
      <c r="N3" s="390"/>
      <c r="O3" s="390"/>
      <c r="P3" s="390"/>
      <c r="Q3" s="390"/>
      <c r="R3" s="390"/>
      <c r="S3" s="390"/>
    </row>
    <row r="4" spans="1:25" ht="242.3" customHeight="1" x14ac:dyDescent="0.2">
      <c r="A4" s="361" t="s">
        <v>597</v>
      </c>
      <c r="B4" s="361" t="s">
        <v>208</v>
      </c>
      <c r="C4" s="361" t="s">
        <v>208</v>
      </c>
      <c r="D4" s="361" t="s">
        <v>208</v>
      </c>
      <c r="E4" s="250" t="s">
        <v>208</v>
      </c>
      <c r="F4" s="311">
        <v>5.0999999999999996</v>
      </c>
      <c r="G4" s="311">
        <v>1</v>
      </c>
      <c r="H4" s="311" t="s">
        <v>598</v>
      </c>
      <c r="I4" s="240" t="s">
        <v>599</v>
      </c>
      <c r="J4" s="210" t="s">
        <v>183</v>
      </c>
      <c r="K4" s="255" t="s">
        <v>600</v>
      </c>
      <c r="L4" s="369"/>
      <c r="M4" s="240" t="str">
        <f t="shared" ref="M4:M9" si="0">IFERROR(IF(N4="Maturity",HLOOKUP(L4,$O$2:$S$200,ROW()-1,0),"N/A"),"")</f>
        <v/>
      </c>
      <c r="N4" s="250" t="s">
        <v>219</v>
      </c>
      <c r="O4" s="240" t="s">
        <v>601</v>
      </c>
      <c r="P4" s="240" t="s">
        <v>602</v>
      </c>
      <c r="Q4" s="240" t="s">
        <v>603</v>
      </c>
      <c r="R4" s="240" t="s">
        <v>604</v>
      </c>
      <c r="S4" s="240" t="s">
        <v>605</v>
      </c>
      <c r="T4" s="276">
        <f>IF(OR(L4="Yes",L4="M3",L4="M4",L4="M5"),3,IF(OR(L4="Partial",L4="M2"),2,IF(L4="N/A",0,1)))</f>
        <v>1</v>
      </c>
      <c r="U4" s="287">
        <f>IF(L4="M4",1,IF(L4="M5",2,0))</f>
        <v>0</v>
      </c>
      <c r="V4" s="287">
        <f>T4+U4</f>
        <v>1</v>
      </c>
      <c r="W4" s="287">
        <f t="shared" ref="W4:W9" si="1">IF(ISBLANK(L4),1,0)</f>
        <v>1</v>
      </c>
    </row>
    <row r="5" spans="1:25" ht="300.55" x14ac:dyDescent="0.2">
      <c r="A5" s="210" t="s">
        <v>606</v>
      </c>
      <c r="B5" s="210" t="s">
        <v>208</v>
      </c>
      <c r="C5" s="210" t="s">
        <v>208</v>
      </c>
      <c r="D5" s="210" t="s">
        <v>208</v>
      </c>
      <c r="E5" s="250" t="s">
        <v>208</v>
      </c>
      <c r="F5" s="306">
        <v>5.0999999999999996</v>
      </c>
      <c r="G5" s="306">
        <v>2</v>
      </c>
      <c r="H5" s="306" t="s">
        <v>607</v>
      </c>
      <c r="I5" s="216" t="s">
        <v>608</v>
      </c>
      <c r="J5" s="215" t="s">
        <v>183</v>
      </c>
      <c r="K5" s="393" t="s">
        <v>609</v>
      </c>
      <c r="L5" s="274"/>
      <c r="M5" s="216" t="str">
        <f t="shared" si="0"/>
        <v/>
      </c>
      <c r="N5" s="215" t="s">
        <v>219</v>
      </c>
      <c r="O5" s="216" t="s">
        <v>610</v>
      </c>
      <c r="P5" s="216" t="s">
        <v>611</v>
      </c>
      <c r="Q5" s="216" t="s">
        <v>612</v>
      </c>
      <c r="R5" s="216" t="s">
        <v>613</v>
      </c>
      <c r="S5" s="216" t="s">
        <v>614</v>
      </c>
      <c r="T5" s="276">
        <f t="shared" ref="T5:T9" si="2">IF(OR(L5="Yes",L5="M3",L5="M4",L5="M5"),3,IF(OR(L5="Partial",L5="M2"),2,IF(L5="N/A",0,1)))</f>
        <v>1</v>
      </c>
      <c r="U5" s="287">
        <f t="shared" ref="U5:U9" si="3">IF(L5="M4",1,IF(L5="M5",2,0))</f>
        <v>0</v>
      </c>
      <c r="V5" s="287">
        <f t="shared" ref="V5:V9" si="4">T5+U5</f>
        <v>1</v>
      </c>
      <c r="W5" s="287">
        <f t="shared" si="1"/>
        <v>1</v>
      </c>
    </row>
    <row r="6" spans="1:25" ht="263" x14ac:dyDescent="0.2">
      <c r="A6" s="210" t="s">
        <v>615</v>
      </c>
      <c r="B6" s="210" t="s">
        <v>208</v>
      </c>
      <c r="C6" s="210" t="s">
        <v>208</v>
      </c>
      <c r="D6" s="210" t="s">
        <v>208</v>
      </c>
      <c r="E6" s="250" t="s">
        <v>208</v>
      </c>
      <c r="F6" s="307">
        <v>5.2</v>
      </c>
      <c r="G6" s="307">
        <v>1</v>
      </c>
      <c r="H6" s="306" t="s">
        <v>616</v>
      </c>
      <c r="I6" s="344" t="s">
        <v>617</v>
      </c>
      <c r="J6" s="210" t="s">
        <v>183</v>
      </c>
      <c r="K6" s="393" t="s">
        <v>618</v>
      </c>
      <c r="L6" s="274"/>
      <c r="M6" s="216" t="str">
        <f t="shared" si="0"/>
        <v/>
      </c>
      <c r="N6" s="215" t="s">
        <v>219</v>
      </c>
      <c r="O6" s="216" t="s">
        <v>619</v>
      </c>
      <c r="P6" s="216" t="s">
        <v>620</v>
      </c>
      <c r="Q6" s="216" t="s">
        <v>621</v>
      </c>
      <c r="R6" s="216" t="s">
        <v>622</v>
      </c>
      <c r="S6" s="216" t="s">
        <v>623</v>
      </c>
      <c r="T6" s="276">
        <f t="shared" si="2"/>
        <v>1</v>
      </c>
      <c r="U6" s="287">
        <f t="shared" si="3"/>
        <v>0</v>
      </c>
      <c r="V6" s="287">
        <f t="shared" si="4"/>
        <v>1</v>
      </c>
      <c r="W6" s="287">
        <f t="shared" si="1"/>
        <v>1</v>
      </c>
    </row>
    <row r="7" spans="1:25" ht="62.65" hidden="1" x14ac:dyDescent="0.2">
      <c r="A7" s="210" t="s">
        <v>624</v>
      </c>
      <c r="B7" s="210" t="s">
        <v>208</v>
      </c>
      <c r="C7" s="210"/>
      <c r="D7" s="210"/>
      <c r="E7" s="215"/>
      <c r="F7" s="307">
        <v>5.2</v>
      </c>
      <c r="G7" s="307">
        <v>2</v>
      </c>
      <c r="H7" s="306" t="s">
        <v>625</v>
      </c>
      <c r="I7" s="362" t="s">
        <v>626</v>
      </c>
      <c r="J7" s="361" t="s">
        <v>183</v>
      </c>
      <c r="K7" s="394" t="s">
        <v>627</v>
      </c>
      <c r="L7" s="274"/>
      <c r="M7" s="216" t="str">
        <f t="shared" si="0"/>
        <v>N/A</v>
      </c>
      <c r="N7" s="210" t="s">
        <v>213</v>
      </c>
      <c r="O7" s="222" t="s">
        <v>214</v>
      </c>
      <c r="P7" s="222" t="s">
        <v>214</v>
      </c>
      <c r="Q7" s="222" t="s">
        <v>214</v>
      </c>
      <c r="R7" s="222" t="s">
        <v>214</v>
      </c>
      <c r="S7" s="218" t="s">
        <v>214</v>
      </c>
      <c r="T7" s="276">
        <f t="shared" si="2"/>
        <v>1</v>
      </c>
      <c r="U7" s="287">
        <f t="shared" si="3"/>
        <v>0</v>
      </c>
      <c r="V7" s="287">
        <f t="shared" si="4"/>
        <v>1</v>
      </c>
      <c r="W7" s="287">
        <f t="shared" si="1"/>
        <v>1</v>
      </c>
    </row>
    <row r="8" spans="1:25" ht="112.7" x14ac:dyDescent="0.2">
      <c r="A8" s="210" t="s">
        <v>628</v>
      </c>
      <c r="B8" s="210" t="s">
        <v>208</v>
      </c>
      <c r="C8" s="210" t="s">
        <v>208</v>
      </c>
      <c r="D8" s="210" t="s">
        <v>208</v>
      </c>
      <c r="E8" s="215" t="s">
        <v>208</v>
      </c>
      <c r="F8" s="307">
        <v>5.3</v>
      </c>
      <c r="G8" s="307"/>
      <c r="H8" s="306">
        <v>5.3</v>
      </c>
      <c r="I8" s="344" t="s">
        <v>629</v>
      </c>
      <c r="J8" s="210" t="s">
        <v>182</v>
      </c>
      <c r="K8" s="394" t="s">
        <v>630</v>
      </c>
      <c r="L8" s="274"/>
      <c r="M8" s="216" t="str">
        <f t="shared" si="0"/>
        <v>N/A</v>
      </c>
      <c r="N8" s="210" t="s">
        <v>213</v>
      </c>
      <c r="O8" s="222" t="s">
        <v>214</v>
      </c>
      <c r="P8" s="222" t="s">
        <v>214</v>
      </c>
      <c r="Q8" s="222" t="s">
        <v>214</v>
      </c>
      <c r="R8" s="222" t="s">
        <v>214</v>
      </c>
      <c r="S8" s="218" t="s">
        <v>214</v>
      </c>
      <c r="T8" s="276">
        <f t="shared" si="2"/>
        <v>1</v>
      </c>
      <c r="U8" s="287">
        <f t="shared" si="3"/>
        <v>0</v>
      </c>
      <c r="V8" s="287">
        <f t="shared" si="4"/>
        <v>1</v>
      </c>
      <c r="W8" s="287">
        <f t="shared" si="1"/>
        <v>1</v>
      </c>
    </row>
    <row r="9" spans="1:25" ht="265.5" customHeight="1" x14ac:dyDescent="0.2">
      <c r="A9" s="210" t="s">
        <v>631</v>
      </c>
      <c r="B9" s="210" t="s">
        <v>208</v>
      </c>
      <c r="C9" s="210" t="s">
        <v>208</v>
      </c>
      <c r="D9" s="210" t="s">
        <v>208</v>
      </c>
      <c r="E9" s="215" t="s">
        <v>208</v>
      </c>
      <c r="F9" s="307" t="s">
        <v>632</v>
      </c>
      <c r="G9" s="307">
        <v>1</v>
      </c>
      <c r="H9" s="306" t="s">
        <v>633</v>
      </c>
      <c r="I9" s="216" t="s">
        <v>634</v>
      </c>
      <c r="J9" s="215" t="s">
        <v>182</v>
      </c>
      <c r="K9" s="216" t="s">
        <v>635</v>
      </c>
      <c r="L9" s="274"/>
      <c r="M9" s="216" t="str">
        <f t="shared" si="0"/>
        <v>N/A</v>
      </c>
      <c r="N9" s="210" t="s">
        <v>213</v>
      </c>
      <c r="O9" s="222" t="s">
        <v>214</v>
      </c>
      <c r="P9" s="222" t="s">
        <v>214</v>
      </c>
      <c r="Q9" s="222" t="s">
        <v>214</v>
      </c>
      <c r="R9" s="222" t="s">
        <v>214</v>
      </c>
      <c r="S9" s="218" t="s">
        <v>214</v>
      </c>
      <c r="T9" s="276">
        <f t="shared" si="2"/>
        <v>1</v>
      </c>
      <c r="U9" s="287">
        <f t="shared" si="3"/>
        <v>0</v>
      </c>
      <c r="V9" s="287">
        <f t="shared" si="4"/>
        <v>1</v>
      </c>
      <c r="W9" s="287">
        <f t="shared" si="1"/>
        <v>1</v>
      </c>
    </row>
    <row r="10" spans="1:25" hidden="1" x14ac:dyDescent="0.2">
      <c r="W10" s="287">
        <f>SUM(W4:W9)</f>
        <v>6</v>
      </c>
      <c r="Y10" s="287">
        <f>COUNTIF(N4:N9,"Maturity")</f>
        <v>3</v>
      </c>
    </row>
    <row r="11" spans="1:25" hidden="1" x14ac:dyDescent="0.2">
      <c r="L11" s="271" t="s">
        <v>364</v>
      </c>
      <c r="M11" s="272" t="str">
        <f>IF(W10&gt;0,"โปรดระวัง ท่านยังไม่ได้บันทึกผลการประเมินในข้อดังนี้","ตอบแบบประเมินครบถ้วน")</f>
        <v>โปรดระวัง ท่านยังไม่ได้บันทึกผลการประเมินในข้อดังนี้</v>
      </c>
    </row>
    <row r="12" spans="1:25" hidden="1" x14ac:dyDescent="0.2">
      <c r="M12" s="313" t="str">
        <f>IF(ISBLANK(L4),_xlfn.CONCAT(A4," , "),"")&amp;IF(ISBLANK(L5),_xlfn.CONCAT(A5," , "),"")&amp; IF(ISBLANK(L6),_xlfn.CONCAT(A6," , "),"")&amp; IF(ISBLANK(L7),_xlfn.CONCAT(A7," , "),"")&amp; IF(ISBLANK(L8),_xlfn.CONCAT(A8," , "),"")&amp; IF(ISBLANK(L9),A9,"")</f>
        <v>D2.5 #1 , D2.5 #2 , D2.5 #3 , D2.5 #4 , D2.5 #5 , D2.5 #6</v>
      </c>
    </row>
  </sheetData>
  <sheetProtection selectLockedCells="1"/>
  <autoFilter ref="A1:S12" xr:uid="{A3DA090D-40C4-4204-A7C0-8AB812873B75}">
    <filterColumn colId="4">
      <customFilters>
        <customFilter operator="notEqual" val=" "/>
      </customFilters>
    </filterColumn>
  </autoFilter>
  <conditionalFormatting sqref="M11">
    <cfRule type="containsText" dxfId="17" priority="1" operator="containsText" text="โปรดระวัง ท่านยังไม่ได้บันทึกผลการประเมินในข้อดังนี้">
      <formula>NOT(ISERROR(SEARCH("โปรดระวัง ท่านยังไม่ได้บันทึกผลการประเมินในข้อดังนี้",M11)))</formula>
    </cfRule>
    <cfRule type="containsText" dxfId="16" priority="2" operator="containsText" text="ตอบแบบประเมินครบถ้วน">
      <formula>NOT(ISERROR(SEARCH("ตอบแบบประเมินครบถ้วน",M11)))</formula>
    </cfRule>
  </conditionalFormatting>
  <dataValidations count="3">
    <dataValidation type="list" allowBlank="1" showInputMessage="1" showErrorMessage="1" sqref="L7:L9" xr:uid="{18A5FF45-F6A3-40B9-A10F-12CE57EFED2C}">
      <formula1>"Yes,Partial,No,N/A"</formula1>
    </dataValidation>
    <dataValidation type="list" allowBlank="1" showInputMessage="1" showErrorMessage="1" sqref="L4:L6" xr:uid="{2CD75A34-F73E-4D6B-9D25-48E1C7477CC3}">
      <formula1>"M1,M2,M3,M4,M5,N/A"</formula1>
    </dataValidation>
    <dataValidation type="list" allowBlank="1" showInputMessage="1" showErrorMessage="1" sqref="N4:N9" xr:uid="{29F4A92B-7661-454B-AD5A-F057E71AD2B2}">
      <formula1>"Yes/Partial/No, Maturity"</formula1>
    </dataValidation>
  </dataValidations>
  <pageMargins left="0.25" right="0.25" top="0.5" bottom="0.5" header="0.3" footer="0.3"/>
  <pageSetup paperSize="9" scale="70" pageOrder="overThenDown" orientation="landscape" horizontalDpi="1200" verticalDpi="1200" r:id="rId1"/>
  <headerFooter>
    <oddHeader>&amp;L&amp;"TH Sarabun New,Regular"&amp;14แนวทางการประเมินสำหรับผู้ประกอบธุรกิจภายใต้หน่วยงานกำกับดูแล (IT Audit Program)&amp;R&amp;"TH Sarabun New,Regular"&amp;14Authorised Restricted Use - Confidential</oddHeader>
    <oddFooter>&amp;L&amp;"TH Sarabun New,Regular"&amp;14หมวด 2.6 การควบคุมการเข้าถึงข้อมูลและระบบ IT (access control)&amp;R&amp;"TH Sarabun New,Regular"&amp;14&amp;P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0CFCC7-CCDF-4CA3-90AE-870AEF98D2EA}">
  <sheetPr codeName="Sheet17">
    <tabColor theme="9" tint="0.39997558519241921"/>
  </sheetPr>
  <dimension ref="A1:Z14"/>
  <sheetViews>
    <sheetView zoomScale="40" zoomScaleNormal="40" workbookViewId="0">
      <pane ySplit="1" topLeftCell="A5" activePane="bottomLeft" state="frozen"/>
      <selection pane="bottomLeft" activeCell="K16" sqref="K16"/>
    </sheetView>
  </sheetViews>
  <sheetFormatPr defaultColWidth="8.19921875" defaultRowHeight="12.55" x14ac:dyDescent="0.2"/>
  <cols>
    <col min="1" max="1" width="10.19921875" style="287" customWidth="1"/>
    <col min="2" max="5" width="9.19921875" style="276" customWidth="1"/>
    <col min="6" max="7" width="15.19921875" style="356" customWidth="1"/>
    <col min="8" max="8" width="18.19921875" style="356" customWidth="1"/>
    <col min="9" max="9" width="50.19921875" style="287" customWidth="1"/>
    <col min="10" max="10" width="20.19921875" style="355" customWidth="1"/>
    <col min="11" max="11" width="120.19921875" style="287" customWidth="1"/>
    <col min="12" max="12" width="18.69921875" style="276" customWidth="1"/>
    <col min="13" max="13" width="50.69921875" style="287" customWidth="1"/>
    <col min="14" max="14" width="32.19921875" style="287" bestFit="1" customWidth="1"/>
    <col min="15" max="16" width="49.09765625" style="287" bestFit="1" customWidth="1"/>
    <col min="17" max="17" width="48.8984375" style="287" bestFit="1" customWidth="1"/>
    <col min="18" max="18" width="49" style="287" bestFit="1" customWidth="1"/>
    <col min="19" max="19" width="50" style="287" bestFit="1" customWidth="1"/>
    <col min="20" max="22" width="2.19921875" style="287" hidden="1" customWidth="1"/>
    <col min="23" max="26" width="8.19921875" style="287" hidden="1" customWidth="1"/>
    <col min="27" max="16384" width="8.19921875" style="287"/>
  </cols>
  <sheetData>
    <row r="1" spans="1:25" s="276" customFormat="1" ht="50.1" x14ac:dyDescent="0.2">
      <c r="A1" s="198" t="s">
        <v>181</v>
      </c>
      <c r="B1" s="199" t="s">
        <v>182</v>
      </c>
      <c r="C1" s="200" t="s">
        <v>183</v>
      </c>
      <c r="D1" s="201" t="s">
        <v>184</v>
      </c>
      <c r="E1" s="202" t="s">
        <v>185</v>
      </c>
      <c r="F1" s="198" t="s">
        <v>186</v>
      </c>
      <c r="G1" s="203" t="s">
        <v>187</v>
      </c>
      <c r="H1" s="204" t="s">
        <v>188</v>
      </c>
      <c r="I1" s="205" t="s">
        <v>189</v>
      </c>
      <c r="J1" s="206" t="s">
        <v>190</v>
      </c>
      <c r="K1" s="206" t="s">
        <v>191</v>
      </c>
      <c r="L1" s="206" t="s">
        <v>192</v>
      </c>
      <c r="M1" s="206" t="s">
        <v>111</v>
      </c>
      <c r="N1" s="206" t="s">
        <v>193</v>
      </c>
      <c r="O1" s="207" t="s">
        <v>194</v>
      </c>
      <c r="P1" s="207" t="s">
        <v>195</v>
      </c>
      <c r="Q1" s="208" t="s">
        <v>196</v>
      </c>
      <c r="R1" s="208" t="s">
        <v>197</v>
      </c>
      <c r="S1" s="207" t="s">
        <v>198</v>
      </c>
    </row>
    <row r="2" spans="1:25" x14ac:dyDescent="0.2">
      <c r="A2" s="314"/>
      <c r="B2" s="314"/>
      <c r="C2" s="314"/>
      <c r="D2" s="314"/>
      <c r="E2" s="314"/>
      <c r="F2" s="316" t="s">
        <v>365</v>
      </c>
      <c r="G2" s="317"/>
      <c r="H2" s="395"/>
      <c r="I2" s="314"/>
      <c r="J2" s="278"/>
      <c r="K2" s="278"/>
      <c r="L2" s="396"/>
      <c r="M2" s="396"/>
      <c r="N2" s="319"/>
      <c r="O2" s="320" t="s">
        <v>200</v>
      </c>
      <c r="P2" s="286" t="s">
        <v>201</v>
      </c>
      <c r="Q2" s="320" t="s">
        <v>202</v>
      </c>
      <c r="R2" s="320" t="s">
        <v>203</v>
      </c>
      <c r="S2" s="320" t="s">
        <v>204</v>
      </c>
    </row>
    <row r="3" spans="1:25" s="296" customFormat="1" x14ac:dyDescent="0.25">
      <c r="A3" s="289"/>
      <c r="B3" s="289"/>
      <c r="C3" s="289"/>
      <c r="D3" s="289"/>
      <c r="E3" s="289"/>
      <c r="F3" s="291" t="s">
        <v>636</v>
      </c>
      <c r="G3" s="321"/>
      <c r="H3" s="322"/>
      <c r="I3" s="289"/>
      <c r="J3" s="289"/>
      <c r="K3" s="289"/>
      <c r="L3" s="289"/>
      <c r="M3" s="289"/>
      <c r="N3" s="289"/>
      <c r="O3" s="289"/>
      <c r="P3" s="289"/>
      <c r="Q3" s="289"/>
      <c r="R3" s="289"/>
      <c r="S3" s="289"/>
    </row>
    <row r="4" spans="1:25" s="368" customFormat="1" ht="212.9" x14ac:dyDescent="0.2">
      <c r="A4" s="361" t="s">
        <v>637</v>
      </c>
      <c r="B4" s="361" t="s">
        <v>208</v>
      </c>
      <c r="C4" s="361" t="s">
        <v>208</v>
      </c>
      <c r="D4" s="361" t="s">
        <v>208</v>
      </c>
      <c r="E4" s="361"/>
      <c r="F4" s="311">
        <v>6.1</v>
      </c>
      <c r="G4" s="311">
        <v>1</v>
      </c>
      <c r="H4" s="311" t="s">
        <v>638</v>
      </c>
      <c r="I4" s="240" t="s">
        <v>639</v>
      </c>
      <c r="J4" s="215" t="s">
        <v>183</v>
      </c>
      <c r="K4" s="344" t="s">
        <v>640</v>
      </c>
      <c r="L4" s="402"/>
      <c r="M4" s="397" t="str">
        <f t="shared" ref="M4:M11" si="0">IFERROR(IF(N4="Maturity",HLOOKUP(L4,$O$2:$S$200,ROW()-1,0),"N/A"),"")</f>
        <v>N/A</v>
      </c>
      <c r="N4" s="398" t="s">
        <v>213</v>
      </c>
      <c r="O4" s="379" t="s">
        <v>214</v>
      </c>
      <c r="P4" s="379" t="s">
        <v>214</v>
      </c>
      <c r="Q4" s="379" t="s">
        <v>214</v>
      </c>
      <c r="R4" s="379" t="s">
        <v>214</v>
      </c>
      <c r="S4" s="379" t="s">
        <v>214</v>
      </c>
      <c r="T4" s="276">
        <f>IF(OR(L4="Yes",L4="M3",L4="M4",L4="M5"),3,IF(OR(L4="Partial",L4="M2"),2,IF(L4="N/A",0,1)))</f>
        <v>1</v>
      </c>
      <c r="U4" s="287">
        <f>IF(L4="M4",1,IF(L4="M5",2,0))</f>
        <v>0</v>
      </c>
      <c r="V4" s="287">
        <f>T4+U4</f>
        <v>1</v>
      </c>
      <c r="W4" s="287">
        <f t="shared" ref="W4:W11" si="1">IF(ISBLANK(L4),1,0)</f>
        <v>1</v>
      </c>
    </row>
    <row r="5" spans="1:25" s="368" customFormat="1" ht="37.6" x14ac:dyDescent="0.2">
      <c r="A5" s="210" t="s">
        <v>641</v>
      </c>
      <c r="B5" s="210" t="s">
        <v>208</v>
      </c>
      <c r="C5" s="210" t="s">
        <v>208</v>
      </c>
      <c r="D5" s="210" t="s">
        <v>208</v>
      </c>
      <c r="E5" s="210"/>
      <c r="F5" s="306">
        <v>6.1</v>
      </c>
      <c r="G5" s="306">
        <v>1</v>
      </c>
      <c r="H5" s="306" t="s">
        <v>638</v>
      </c>
      <c r="I5" s="216" t="s">
        <v>642</v>
      </c>
      <c r="J5" s="215" t="s">
        <v>183</v>
      </c>
      <c r="K5" s="344" t="s">
        <v>643</v>
      </c>
      <c r="L5" s="403"/>
      <c r="M5" s="399" t="str">
        <f t="shared" si="0"/>
        <v>N/A</v>
      </c>
      <c r="N5" s="264" t="s">
        <v>213</v>
      </c>
      <c r="O5" s="400" t="s">
        <v>214</v>
      </c>
      <c r="P5" s="400" t="s">
        <v>214</v>
      </c>
      <c r="Q5" s="400" t="s">
        <v>214</v>
      </c>
      <c r="R5" s="400" t="s">
        <v>214</v>
      </c>
      <c r="S5" s="400" t="s">
        <v>214</v>
      </c>
      <c r="T5" s="276">
        <f t="shared" ref="T5:T11" si="2">IF(OR(L5="Yes",L5="M3",L5="M4",L5="M5"),3,IF(OR(L5="Partial",L5="M2"),2,IF(L5="N/A",0,1)))</f>
        <v>1</v>
      </c>
      <c r="U5" s="287">
        <f t="shared" ref="U5:U11" si="3">IF(L5="M4",1,IF(L5="M5",2,0))</f>
        <v>0</v>
      </c>
      <c r="V5" s="287">
        <f t="shared" ref="V5:V11" si="4">T5+U5</f>
        <v>1</v>
      </c>
      <c r="W5" s="287">
        <f t="shared" si="1"/>
        <v>1</v>
      </c>
    </row>
    <row r="6" spans="1:25" s="368" customFormat="1" ht="187.85" x14ac:dyDescent="0.2">
      <c r="A6" s="210" t="s">
        <v>644</v>
      </c>
      <c r="B6" s="210" t="s">
        <v>208</v>
      </c>
      <c r="C6" s="210" t="s">
        <v>208</v>
      </c>
      <c r="D6" s="210" t="s">
        <v>208</v>
      </c>
      <c r="E6" s="210"/>
      <c r="F6" s="307">
        <v>6.2</v>
      </c>
      <c r="G6" s="307">
        <v>1</v>
      </c>
      <c r="H6" s="306" t="s">
        <v>645</v>
      </c>
      <c r="I6" s="344" t="s">
        <v>646</v>
      </c>
      <c r="J6" s="215" t="s">
        <v>182</v>
      </c>
      <c r="K6" s="216" t="s">
        <v>647</v>
      </c>
      <c r="L6" s="403"/>
      <c r="M6" s="399" t="str">
        <f t="shared" si="0"/>
        <v>N/A</v>
      </c>
      <c r="N6" s="264" t="s">
        <v>213</v>
      </c>
      <c r="O6" s="400" t="s">
        <v>214</v>
      </c>
      <c r="P6" s="400" t="s">
        <v>214</v>
      </c>
      <c r="Q6" s="400" t="s">
        <v>214</v>
      </c>
      <c r="R6" s="400" t="s">
        <v>214</v>
      </c>
      <c r="S6" s="400" t="s">
        <v>214</v>
      </c>
      <c r="T6" s="276">
        <f t="shared" si="2"/>
        <v>1</v>
      </c>
      <c r="U6" s="287">
        <f t="shared" si="3"/>
        <v>0</v>
      </c>
      <c r="V6" s="287">
        <f t="shared" si="4"/>
        <v>1</v>
      </c>
      <c r="W6" s="287">
        <f t="shared" si="1"/>
        <v>1</v>
      </c>
    </row>
    <row r="7" spans="1:25" s="368" customFormat="1" ht="125.25" x14ac:dyDescent="0.2">
      <c r="A7" s="210" t="s">
        <v>648</v>
      </c>
      <c r="B7" s="210" t="s">
        <v>208</v>
      </c>
      <c r="C7" s="210" t="s">
        <v>208</v>
      </c>
      <c r="D7" s="210" t="s">
        <v>208</v>
      </c>
      <c r="E7" s="210"/>
      <c r="F7" s="307">
        <v>6.2</v>
      </c>
      <c r="G7" s="307">
        <v>2</v>
      </c>
      <c r="H7" s="306" t="s">
        <v>649</v>
      </c>
      <c r="I7" s="344" t="s">
        <v>650</v>
      </c>
      <c r="J7" s="215" t="s">
        <v>182</v>
      </c>
      <c r="K7" s="216" t="s">
        <v>651</v>
      </c>
      <c r="L7" s="381"/>
      <c r="M7" s="399" t="str">
        <f t="shared" si="0"/>
        <v>N/A</v>
      </c>
      <c r="N7" s="264" t="s">
        <v>213</v>
      </c>
      <c r="O7" s="400" t="s">
        <v>214</v>
      </c>
      <c r="P7" s="400" t="s">
        <v>214</v>
      </c>
      <c r="Q7" s="400" t="s">
        <v>214</v>
      </c>
      <c r="R7" s="400" t="s">
        <v>214</v>
      </c>
      <c r="S7" s="400" t="s">
        <v>214</v>
      </c>
      <c r="T7" s="276">
        <f t="shared" si="2"/>
        <v>1</v>
      </c>
      <c r="U7" s="287">
        <f t="shared" si="3"/>
        <v>0</v>
      </c>
      <c r="V7" s="287">
        <f t="shared" si="4"/>
        <v>1</v>
      </c>
      <c r="W7" s="287">
        <f t="shared" si="1"/>
        <v>1</v>
      </c>
    </row>
    <row r="8" spans="1:25" s="368" customFormat="1" ht="125.25" x14ac:dyDescent="0.2">
      <c r="A8" s="210" t="s">
        <v>652</v>
      </c>
      <c r="B8" s="210" t="s">
        <v>208</v>
      </c>
      <c r="C8" s="210" t="s">
        <v>208</v>
      </c>
      <c r="D8" s="210" t="s">
        <v>208</v>
      </c>
      <c r="E8" s="210"/>
      <c r="F8" s="307">
        <v>6.2</v>
      </c>
      <c r="G8" s="307">
        <v>3</v>
      </c>
      <c r="H8" s="306" t="s">
        <v>653</v>
      </c>
      <c r="I8" s="344" t="s">
        <v>654</v>
      </c>
      <c r="J8" s="215" t="s">
        <v>183</v>
      </c>
      <c r="K8" s="216" t="s">
        <v>655</v>
      </c>
      <c r="L8" s="381"/>
      <c r="M8" s="399" t="str">
        <f t="shared" si="0"/>
        <v>N/A</v>
      </c>
      <c r="N8" s="264" t="s">
        <v>213</v>
      </c>
      <c r="O8" s="400" t="s">
        <v>214</v>
      </c>
      <c r="P8" s="400" t="s">
        <v>214</v>
      </c>
      <c r="Q8" s="400" t="s">
        <v>214</v>
      </c>
      <c r="R8" s="400" t="s">
        <v>214</v>
      </c>
      <c r="S8" s="400" t="s">
        <v>214</v>
      </c>
      <c r="T8" s="276">
        <f t="shared" si="2"/>
        <v>1</v>
      </c>
      <c r="U8" s="287">
        <f t="shared" si="3"/>
        <v>0</v>
      </c>
      <c r="V8" s="287">
        <f t="shared" si="4"/>
        <v>1</v>
      </c>
      <c r="W8" s="287">
        <f t="shared" si="1"/>
        <v>1</v>
      </c>
    </row>
    <row r="9" spans="1:25" s="368" customFormat="1" ht="112.7" x14ac:dyDescent="0.2">
      <c r="A9" s="210" t="s">
        <v>656</v>
      </c>
      <c r="B9" s="210" t="s">
        <v>208</v>
      </c>
      <c r="C9" s="210" t="s">
        <v>208</v>
      </c>
      <c r="D9" s="210" t="s">
        <v>208</v>
      </c>
      <c r="E9" s="210"/>
      <c r="F9" s="307">
        <v>6.2</v>
      </c>
      <c r="G9" s="307">
        <v>4</v>
      </c>
      <c r="H9" s="306" t="s">
        <v>657</v>
      </c>
      <c r="I9" s="401" t="s">
        <v>658</v>
      </c>
      <c r="J9" s="215" t="s">
        <v>183</v>
      </c>
      <c r="K9" s="216" t="s">
        <v>659</v>
      </c>
      <c r="L9" s="274"/>
      <c r="M9" s="399" t="str">
        <f t="shared" si="0"/>
        <v/>
      </c>
      <c r="N9" s="215" t="s">
        <v>219</v>
      </c>
      <c r="O9" s="216" t="s">
        <v>660</v>
      </c>
      <c r="P9" s="216" t="s">
        <v>661</v>
      </c>
      <c r="Q9" s="216" t="s">
        <v>662</v>
      </c>
      <c r="R9" s="216" t="s">
        <v>663</v>
      </c>
      <c r="S9" s="216" t="s">
        <v>664</v>
      </c>
      <c r="T9" s="276">
        <f t="shared" si="2"/>
        <v>1</v>
      </c>
      <c r="U9" s="287">
        <f t="shared" si="3"/>
        <v>0</v>
      </c>
      <c r="V9" s="287">
        <f t="shared" si="4"/>
        <v>1</v>
      </c>
      <c r="W9" s="287">
        <f t="shared" si="1"/>
        <v>1</v>
      </c>
    </row>
    <row r="10" spans="1:25" s="368" customFormat="1" ht="125.25" x14ac:dyDescent="0.2">
      <c r="A10" s="210" t="s">
        <v>665</v>
      </c>
      <c r="B10" s="210" t="s">
        <v>208</v>
      </c>
      <c r="C10" s="210" t="s">
        <v>208</v>
      </c>
      <c r="D10" s="210" t="s">
        <v>208</v>
      </c>
      <c r="E10" s="210"/>
      <c r="F10" s="307">
        <v>6.3</v>
      </c>
      <c r="G10" s="307">
        <v>1</v>
      </c>
      <c r="H10" s="306" t="s">
        <v>666</v>
      </c>
      <c r="I10" s="344" t="s">
        <v>667</v>
      </c>
      <c r="J10" s="215" t="s">
        <v>183</v>
      </c>
      <c r="K10" s="216" t="s">
        <v>668</v>
      </c>
      <c r="L10" s="404"/>
      <c r="M10" s="399" t="str">
        <f t="shared" si="0"/>
        <v>N/A</v>
      </c>
      <c r="N10" s="398" t="s">
        <v>213</v>
      </c>
      <c r="O10" s="379" t="s">
        <v>214</v>
      </c>
      <c r="P10" s="379" t="s">
        <v>214</v>
      </c>
      <c r="Q10" s="379" t="s">
        <v>214</v>
      </c>
      <c r="R10" s="379" t="s">
        <v>214</v>
      </c>
      <c r="S10" s="379" t="s">
        <v>214</v>
      </c>
      <c r="T10" s="276">
        <f t="shared" si="2"/>
        <v>1</v>
      </c>
      <c r="U10" s="287">
        <f t="shared" si="3"/>
        <v>0</v>
      </c>
      <c r="V10" s="287">
        <f t="shared" si="4"/>
        <v>1</v>
      </c>
      <c r="W10" s="287">
        <f t="shared" si="1"/>
        <v>1</v>
      </c>
    </row>
    <row r="11" spans="1:25" s="368" customFormat="1" ht="100.2" x14ac:dyDescent="0.2">
      <c r="A11" s="210" t="s">
        <v>669</v>
      </c>
      <c r="B11" s="210" t="s">
        <v>208</v>
      </c>
      <c r="C11" s="210" t="s">
        <v>208</v>
      </c>
      <c r="D11" s="210" t="s">
        <v>208</v>
      </c>
      <c r="E11" s="210"/>
      <c r="F11" s="307">
        <v>6.4</v>
      </c>
      <c r="G11" s="307">
        <v>1</v>
      </c>
      <c r="H11" s="306" t="s">
        <v>670</v>
      </c>
      <c r="I11" s="344" t="s">
        <v>671</v>
      </c>
      <c r="J11" s="215" t="s">
        <v>182</v>
      </c>
      <c r="K11" s="344" t="s">
        <v>672</v>
      </c>
      <c r="L11" s="274"/>
      <c r="M11" s="216" t="str">
        <f t="shared" si="0"/>
        <v>N/A</v>
      </c>
      <c r="N11" s="210" t="s">
        <v>213</v>
      </c>
      <c r="O11" s="344" t="s">
        <v>214</v>
      </c>
      <c r="P11" s="344" t="s">
        <v>214</v>
      </c>
      <c r="Q11" s="344" t="s">
        <v>214</v>
      </c>
      <c r="R11" s="344" t="s">
        <v>214</v>
      </c>
      <c r="S11" s="344" t="s">
        <v>214</v>
      </c>
      <c r="T11" s="276">
        <f t="shared" si="2"/>
        <v>1</v>
      </c>
      <c r="U11" s="287">
        <f t="shared" si="3"/>
        <v>0</v>
      </c>
      <c r="V11" s="287">
        <f t="shared" si="4"/>
        <v>1</v>
      </c>
      <c r="W11" s="287">
        <f t="shared" si="1"/>
        <v>1</v>
      </c>
    </row>
    <row r="12" spans="1:25" x14ac:dyDescent="0.2">
      <c r="W12" s="287">
        <f>SUM(W4:W11)</f>
        <v>8</v>
      </c>
      <c r="Y12" s="287">
        <f>COUNTIF(N4:N11,"Maturity")</f>
        <v>1</v>
      </c>
    </row>
    <row r="13" spans="1:25" x14ac:dyDescent="0.2">
      <c r="L13" s="271" t="s">
        <v>364</v>
      </c>
      <c r="M13" s="272" t="str">
        <f>IF(W12&gt;0,"โปรดระวัง ท่านยังไม่ได้บันทึกผลการประเมินในข้อดังนี้","ตอบแบบประเมินครบถ้วน")</f>
        <v>โปรดระวัง ท่านยังไม่ได้บันทึกผลการประเมินในข้อดังนี้</v>
      </c>
    </row>
    <row r="14" spans="1:25" x14ac:dyDescent="0.2">
      <c r="M14" s="313" t="str">
        <f>IF(ISBLANK(L4),_xlfn.CONCAT(A4," , "),"")&amp;IF(ISBLANK(L5),_xlfn.CONCAT(A5," , "),"")&amp; IF(ISBLANK(L6),_xlfn.CONCAT(A6," , "),"")&amp; IF(ISBLANK(L7),_xlfn.CONCAT(A7," , "),"")&amp; IF(ISBLANK(L8),_xlfn.CONCAT(A8," , "),"")&amp; IF(ISBLANK(L9),_xlfn.CONCAT(A9," , "),"")&amp; IF(ISBLANK(L10),_xlfn.CONCAT(A10," , "),"")&amp; IF(ISBLANK(L11),A11,"")</f>
        <v>D2.6 #1 , D2.6 #2 , D2.6 #3 , D2.6 #4 , D2.6 #5 , D2.6 #6 , D2.6 #7 , D2.6 #8</v>
      </c>
    </row>
  </sheetData>
  <sheetProtection selectLockedCells="1"/>
  <autoFilter ref="B1:S11" xr:uid="{7D017B50-C288-42A0-8E80-FD66865F8349}"/>
  <conditionalFormatting sqref="M13">
    <cfRule type="containsText" dxfId="15" priority="1" operator="containsText" text="โปรดระวัง ท่านยังไม่ได้บันทึกผลการประเมินในข้อดังนี้">
      <formula>NOT(ISERROR(SEARCH("โปรดระวัง ท่านยังไม่ได้บันทึกผลการประเมินในข้อดังนี้",M13)))</formula>
    </cfRule>
    <cfRule type="containsText" dxfId="14" priority="2" operator="containsText" text="ตอบแบบประเมินครบถ้วน">
      <formula>NOT(ISERROR(SEARCH("ตอบแบบประเมินครบถ้วน",M13)))</formula>
    </cfRule>
  </conditionalFormatting>
  <dataValidations count="3">
    <dataValidation type="list" allowBlank="1" showInputMessage="1" showErrorMessage="1" sqref="L10:L11 L4:L8" xr:uid="{D83CE9D1-3FCD-44CD-B9B7-7DE6A5158D01}">
      <formula1>"Yes,Partial,No,N/A"</formula1>
    </dataValidation>
    <dataValidation type="list" allowBlank="1" showInputMessage="1" showErrorMessage="1" sqref="N4:N11" xr:uid="{9E8250A2-9E23-4109-B082-719A38587EF7}">
      <formula1>"Yes/Partial/No, Maturity"</formula1>
    </dataValidation>
    <dataValidation type="list" allowBlank="1" showInputMessage="1" showErrorMessage="1" sqref="L9" xr:uid="{8E58993D-C67B-4297-AA77-B06038A81D33}">
      <formula1>"M1,M2,M3,M4,M5,N/A"</formula1>
    </dataValidation>
  </dataValidations>
  <pageMargins left="0.25" right="0.25" top="0.5" bottom="0.5" header="0.3" footer="0.3"/>
  <pageSetup paperSize="9" scale="70" pageOrder="overThenDown" orientation="landscape" horizontalDpi="1200" verticalDpi="1200" r:id="rId1"/>
  <headerFooter>
    <oddHeader>&amp;L&amp;"TH Sarabun New,Regular"&amp;14แนวทางการประเมินสำหรับผู้ประกอบธุรกิจภายใต้หน่วยงานกำกับดูแล (IT Audit Program)&amp;R&amp;"TH Sarabun New,Regular"&amp;14Authorised Restricted Use - Confidential</oddHeader>
    <oddFooter>&amp;L&amp;"TH Sarabun New,Regular"&amp;14หมวด 2.7 การควบคุมการเข้ารหัส (cryptographic control)&amp;R&amp;"TH Sarabun New,Regular"&amp;14&amp;P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4EADED-9630-439E-BE65-445B3CACEA18}">
  <sheetPr codeName="Sheet18">
    <tabColor theme="9" tint="0.39997558519241921"/>
  </sheetPr>
  <dimension ref="A1:Z18"/>
  <sheetViews>
    <sheetView zoomScale="40" zoomScaleNormal="40" workbookViewId="0">
      <pane ySplit="1" topLeftCell="A2" activePane="bottomLeft" state="frozen"/>
      <selection pane="bottomLeft" activeCell="L4" sqref="L4"/>
    </sheetView>
  </sheetViews>
  <sheetFormatPr defaultColWidth="8.19921875" defaultRowHeight="12.55" x14ac:dyDescent="0.2"/>
  <cols>
    <col min="1" max="1" width="10.19921875" style="287" customWidth="1"/>
    <col min="2" max="5" width="9.19921875" style="276" customWidth="1"/>
    <col min="6" max="7" width="15.19921875" style="356" customWidth="1"/>
    <col min="8" max="8" width="18.19921875" style="356" customWidth="1"/>
    <col min="9" max="9" width="50.19921875" style="287" customWidth="1"/>
    <col min="10" max="10" width="20.19921875" style="276" customWidth="1"/>
    <col min="11" max="11" width="120.19921875" style="287" customWidth="1"/>
    <col min="12" max="12" width="18.69921875" style="276" customWidth="1"/>
    <col min="13" max="13" width="50.69921875" style="287" customWidth="1"/>
    <col min="14" max="14" width="33.19921875" style="287" bestFit="1" customWidth="1"/>
    <col min="15" max="15" width="48.09765625" style="368" bestFit="1" customWidth="1"/>
    <col min="16" max="16" width="50.69921875" style="368" bestFit="1" customWidth="1"/>
    <col min="17" max="17" width="48.69921875" style="368" bestFit="1" customWidth="1"/>
    <col min="18" max="18" width="49.69921875" style="368" bestFit="1" customWidth="1"/>
    <col min="19" max="19" width="49.19921875" style="368" bestFit="1" customWidth="1"/>
    <col min="20" max="22" width="2.19921875" style="287" hidden="1" customWidth="1"/>
    <col min="23" max="26" width="8.19921875" style="287" hidden="1" customWidth="1"/>
    <col min="27" max="16384" width="8.19921875" style="287"/>
  </cols>
  <sheetData>
    <row r="1" spans="1:25" s="276" customFormat="1" ht="50.1" x14ac:dyDescent="0.2">
      <c r="A1" s="198" t="s">
        <v>181</v>
      </c>
      <c r="B1" s="199" t="s">
        <v>182</v>
      </c>
      <c r="C1" s="200" t="s">
        <v>183</v>
      </c>
      <c r="D1" s="201" t="s">
        <v>184</v>
      </c>
      <c r="E1" s="202" t="s">
        <v>185</v>
      </c>
      <c r="F1" s="198" t="s">
        <v>186</v>
      </c>
      <c r="G1" s="203" t="s">
        <v>187</v>
      </c>
      <c r="H1" s="204" t="s">
        <v>188</v>
      </c>
      <c r="I1" s="205" t="s">
        <v>189</v>
      </c>
      <c r="J1" s="206" t="s">
        <v>190</v>
      </c>
      <c r="K1" s="206" t="s">
        <v>191</v>
      </c>
      <c r="L1" s="206" t="s">
        <v>192</v>
      </c>
      <c r="M1" s="206" t="s">
        <v>111</v>
      </c>
      <c r="N1" s="206" t="s">
        <v>193</v>
      </c>
      <c r="O1" s="207" t="s">
        <v>194</v>
      </c>
      <c r="P1" s="207" t="s">
        <v>195</v>
      </c>
      <c r="Q1" s="208" t="s">
        <v>196</v>
      </c>
      <c r="R1" s="208" t="s">
        <v>197</v>
      </c>
      <c r="S1" s="207" t="s">
        <v>198</v>
      </c>
    </row>
    <row r="2" spans="1:25" x14ac:dyDescent="0.2">
      <c r="A2" s="314"/>
      <c r="B2" s="314"/>
      <c r="C2" s="314"/>
      <c r="D2" s="314"/>
      <c r="E2" s="314"/>
      <c r="F2" s="316" t="s">
        <v>365</v>
      </c>
      <c r="G2" s="317"/>
      <c r="H2" s="395"/>
      <c r="I2" s="314"/>
      <c r="J2" s="278"/>
      <c r="K2" s="278"/>
      <c r="L2" s="319"/>
      <c r="M2" s="319"/>
      <c r="N2" s="319"/>
      <c r="O2" s="320" t="s">
        <v>200</v>
      </c>
      <c r="P2" s="286" t="s">
        <v>201</v>
      </c>
      <c r="Q2" s="320" t="s">
        <v>202</v>
      </c>
      <c r="R2" s="320" t="s">
        <v>203</v>
      </c>
      <c r="S2" s="320" t="s">
        <v>204</v>
      </c>
    </row>
    <row r="3" spans="1:25" s="296" customFormat="1" x14ac:dyDescent="0.25">
      <c r="A3" s="289"/>
      <c r="B3" s="289"/>
      <c r="C3" s="289"/>
      <c r="D3" s="289"/>
      <c r="E3" s="289"/>
      <c r="F3" s="291" t="s">
        <v>673</v>
      </c>
      <c r="G3" s="321"/>
      <c r="H3" s="322"/>
      <c r="I3" s="289"/>
      <c r="J3" s="289"/>
      <c r="K3" s="289"/>
      <c r="L3" s="289"/>
      <c r="M3" s="289"/>
      <c r="N3" s="289"/>
      <c r="O3" s="289"/>
      <c r="P3" s="289"/>
      <c r="Q3" s="289"/>
      <c r="R3" s="289"/>
      <c r="S3" s="289"/>
    </row>
    <row r="4" spans="1:25" ht="75.150000000000006" x14ac:dyDescent="0.2">
      <c r="A4" s="361" t="s">
        <v>674</v>
      </c>
      <c r="B4" s="361" t="s">
        <v>208</v>
      </c>
      <c r="C4" s="361" t="s">
        <v>208</v>
      </c>
      <c r="D4" s="361" t="s">
        <v>208</v>
      </c>
      <c r="E4" s="361"/>
      <c r="F4" s="311">
        <v>7</v>
      </c>
      <c r="G4" s="311">
        <v>1</v>
      </c>
      <c r="H4" s="311" t="s">
        <v>675</v>
      </c>
      <c r="I4" s="240" t="s">
        <v>676</v>
      </c>
      <c r="J4" s="215" t="s">
        <v>182</v>
      </c>
      <c r="K4" s="216" t="s">
        <v>677</v>
      </c>
      <c r="L4" s="369"/>
      <c r="M4" s="240" t="str">
        <f t="shared" ref="M4:M15" si="0">IFERROR(IF(N4="Maturity",HLOOKUP(L4,$O$2:$S$200,ROW()-1,0),"N/A"),"")</f>
        <v>N/A</v>
      </c>
      <c r="N4" s="361" t="s">
        <v>213</v>
      </c>
      <c r="O4" s="240" t="s">
        <v>214</v>
      </c>
      <c r="P4" s="240" t="s">
        <v>214</v>
      </c>
      <c r="Q4" s="240" t="s">
        <v>214</v>
      </c>
      <c r="R4" s="240" t="s">
        <v>214</v>
      </c>
      <c r="S4" s="240" t="s">
        <v>214</v>
      </c>
      <c r="T4" s="276">
        <f>IF(OR(L4="Yes",L4="M3",L4="M4",L4="M5"),3,IF(OR(L4="Partial",L4="M2"),2,IF(L4="N/A",0,1)))</f>
        <v>1</v>
      </c>
      <c r="U4" s="287">
        <f>IF(L4="M4",1,IF(L4="M5",2,0))</f>
        <v>0</v>
      </c>
      <c r="V4" s="287">
        <f>T4+U4</f>
        <v>1</v>
      </c>
      <c r="W4" s="287">
        <f t="shared" ref="W4:W15" si="1">IF(ISBLANK(L4),1,0)</f>
        <v>1</v>
      </c>
    </row>
    <row r="5" spans="1:25" ht="212.9" x14ac:dyDescent="0.2">
      <c r="A5" s="210" t="s">
        <v>678</v>
      </c>
      <c r="B5" s="210" t="s">
        <v>208</v>
      </c>
      <c r="C5" s="210" t="s">
        <v>208</v>
      </c>
      <c r="D5" s="210" t="s">
        <v>208</v>
      </c>
      <c r="E5" s="210"/>
      <c r="F5" s="307">
        <v>7</v>
      </c>
      <c r="G5" s="307">
        <v>2</v>
      </c>
      <c r="H5" s="306" t="s">
        <v>679</v>
      </c>
      <c r="I5" s="216" t="s">
        <v>680</v>
      </c>
      <c r="J5" s="215" t="s">
        <v>182</v>
      </c>
      <c r="K5" s="216" t="s">
        <v>681</v>
      </c>
      <c r="L5" s="274"/>
      <c r="M5" s="216" t="str">
        <f t="shared" si="0"/>
        <v/>
      </c>
      <c r="N5" s="215" t="s">
        <v>219</v>
      </c>
      <c r="O5" s="216" t="s">
        <v>682</v>
      </c>
      <c r="P5" s="216" t="s">
        <v>683</v>
      </c>
      <c r="Q5" s="216" t="s">
        <v>684</v>
      </c>
      <c r="R5" s="216" t="s">
        <v>685</v>
      </c>
      <c r="S5" s="216" t="s">
        <v>686</v>
      </c>
      <c r="T5" s="276">
        <f t="shared" ref="T5:T15" si="2">IF(OR(L5="Yes",L5="M3",L5="M4",L5="M5"),3,IF(OR(L5="Partial",L5="M2"),2,IF(L5="N/A",0,1)))</f>
        <v>1</v>
      </c>
      <c r="U5" s="287">
        <f t="shared" ref="U5:U15" si="3">IF(L5="M4",1,IF(L5="M5",2,0))</f>
        <v>0</v>
      </c>
      <c r="V5" s="287">
        <f t="shared" ref="V5:V15" si="4">T5+U5</f>
        <v>1</v>
      </c>
      <c r="W5" s="287">
        <f t="shared" si="1"/>
        <v>1</v>
      </c>
    </row>
    <row r="6" spans="1:25" ht="87.65" x14ac:dyDescent="0.2">
      <c r="A6" s="210" t="s">
        <v>687</v>
      </c>
      <c r="B6" s="210" t="s">
        <v>208</v>
      </c>
      <c r="C6" s="210" t="s">
        <v>208</v>
      </c>
      <c r="D6" s="210" t="s">
        <v>208</v>
      </c>
      <c r="E6" s="210"/>
      <c r="F6" s="307">
        <v>7</v>
      </c>
      <c r="G6" s="307">
        <v>3</v>
      </c>
      <c r="H6" s="306" t="s">
        <v>688</v>
      </c>
      <c r="I6" s="216" t="s">
        <v>689</v>
      </c>
      <c r="J6" s="215" t="s">
        <v>183</v>
      </c>
      <c r="K6" s="216" t="s">
        <v>690</v>
      </c>
      <c r="L6" s="274"/>
      <c r="M6" s="216" t="str">
        <f t="shared" si="0"/>
        <v/>
      </c>
      <c r="N6" s="215" t="s">
        <v>219</v>
      </c>
      <c r="O6" s="216" t="s">
        <v>691</v>
      </c>
      <c r="P6" s="216" t="s">
        <v>692</v>
      </c>
      <c r="Q6" s="216" t="s">
        <v>693</v>
      </c>
      <c r="R6" s="216" t="s">
        <v>694</v>
      </c>
      <c r="S6" s="216" t="s">
        <v>695</v>
      </c>
      <c r="T6" s="276">
        <f t="shared" si="2"/>
        <v>1</v>
      </c>
      <c r="U6" s="287">
        <f t="shared" si="3"/>
        <v>0</v>
      </c>
      <c r="V6" s="287">
        <f t="shared" si="4"/>
        <v>1</v>
      </c>
      <c r="W6" s="287">
        <f t="shared" si="1"/>
        <v>1</v>
      </c>
    </row>
    <row r="7" spans="1:25" ht="150.30000000000001" x14ac:dyDescent="0.2">
      <c r="A7" s="210" t="s">
        <v>696</v>
      </c>
      <c r="B7" s="210" t="s">
        <v>208</v>
      </c>
      <c r="C7" s="210" t="s">
        <v>208</v>
      </c>
      <c r="D7" s="210" t="s">
        <v>208</v>
      </c>
      <c r="E7" s="210"/>
      <c r="F7" s="307">
        <v>7</v>
      </c>
      <c r="G7" s="307">
        <v>4</v>
      </c>
      <c r="H7" s="306" t="s">
        <v>697</v>
      </c>
      <c r="I7" s="344" t="s">
        <v>698</v>
      </c>
      <c r="J7" s="210" t="s">
        <v>183</v>
      </c>
      <c r="K7" s="344" t="s">
        <v>699</v>
      </c>
      <c r="L7" s="274"/>
      <c r="M7" s="216" t="str">
        <f t="shared" si="0"/>
        <v>N/A</v>
      </c>
      <c r="N7" s="210" t="s">
        <v>213</v>
      </c>
      <c r="O7" s="240" t="s">
        <v>214</v>
      </c>
      <c r="P7" s="240" t="s">
        <v>214</v>
      </c>
      <c r="Q7" s="240" t="s">
        <v>214</v>
      </c>
      <c r="R7" s="240" t="s">
        <v>214</v>
      </c>
      <c r="S7" s="240" t="s">
        <v>214</v>
      </c>
      <c r="T7" s="276">
        <f t="shared" si="2"/>
        <v>1</v>
      </c>
      <c r="U7" s="287">
        <f t="shared" si="3"/>
        <v>0</v>
      </c>
      <c r="V7" s="287">
        <f t="shared" si="4"/>
        <v>1</v>
      </c>
      <c r="W7" s="287">
        <f t="shared" si="1"/>
        <v>1</v>
      </c>
    </row>
    <row r="8" spans="1:25" ht="62.65" x14ac:dyDescent="0.2">
      <c r="A8" s="210" t="s">
        <v>700</v>
      </c>
      <c r="B8" s="210" t="s">
        <v>208</v>
      </c>
      <c r="C8" s="210" t="s">
        <v>208</v>
      </c>
      <c r="D8" s="210" t="s">
        <v>208</v>
      </c>
      <c r="E8" s="210"/>
      <c r="F8" s="307">
        <v>7</v>
      </c>
      <c r="G8" s="307">
        <v>5</v>
      </c>
      <c r="H8" s="306" t="s">
        <v>701</v>
      </c>
      <c r="I8" s="216" t="s">
        <v>702</v>
      </c>
      <c r="J8" s="215" t="s">
        <v>183</v>
      </c>
      <c r="K8" s="216" t="s">
        <v>703</v>
      </c>
      <c r="L8" s="274"/>
      <c r="M8" s="216" t="str">
        <f t="shared" si="0"/>
        <v>N/A</v>
      </c>
      <c r="N8" s="215" t="s">
        <v>213</v>
      </c>
      <c r="O8" s="216" t="s">
        <v>214</v>
      </c>
      <c r="P8" s="216" t="s">
        <v>214</v>
      </c>
      <c r="Q8" s="216" t="s">
        <v>214</v>
      </c>
      <c r="R8" s="216" t="s">
        <v>214</v>
      </c>
      <c r="S8" s="216" t="s">
        <v>214</v>
      </c>
      <c r="T8" s="276">
        <f t="shared" si="2"/>
        <v>1</v>
      </c>
      <c r="U8" s="287">
        <f t="shared" si="3"/>
        <v>0</v>
      </c>
      <c r="V8" s="287">
        <f t="shared" si="4"/>
        <v>1</v>
      </c>
      <c r="W8" s="287">
        <f t="shared" si="1"/>
        <v>1</v>
      </c>
    </row>
    <row r="9" spans="1:25" ht="75.150000000000006" customHeight="1" x14ac:dyDescent="0.2">
      <c r="A9" s="210" t="s">
        <v>704</v>
      </c>
      <c r="B9" s="210" t="s">
        <v>208</v>
      </c>
      <c r="C9" s="210" t="s">
        <v>208</v>
      </c>
      <c r="D9" s="210" t="s">
        <v>208</v>
      </c>
      <c r="E9" s="210"/>
      <c r="F9" s="307">
        <v>7</v>
      </c>
      <c r="G9" s="307">
        <v>6</v>
      </c>
      <c r="H9" s="306" t="s">
        <v>705</v>
      </c>
      <c r="I9" s="240" t="s">
        <v>706</v>
      </c>
      <c r="J9" s="250" t="s">
        <v>183</v>
      </c>
      <c r="K9" s="240" t="s">
        <v>707</v>
      </c>
      <c r="L9" s="274"/>
      <c r="M9" s="216" t="str">
        <f t="shared" si="0"/>
        <v>N/A</v>
      </c>
      <c r="N9" s="250" t="s">
        <v>213</v>
      </c>
      <c r="O9" s="216" t="s">
        <v>214</v>
      </c>
      <c r="P9" s="216" t="s">
        <v>214</v>
      </c>
      <c r="Q9" s="216" t="s">
        <v>214</v>
      </c>
      <c r="R9" s="216" t="s">
        <v>214</v>
      </c>
      <c r="S9" s="216" t="s">
        <v>214</v>
      </c>
      <c r="T9" s="276">
        <f t="shared" si="2"/>
        <v>1</v>
      </c>
      <c r="U9" s="287">
        <f t="shared" si="3"/>
        <v>0</v>
      </c>
      <c r="V9" s="287">
        <f t="shared" si="4"/>
        <v>1</v>
      </c>
      <c r="W9" s="287">
        <f t="shared" si="1"/>
        <v>1</v>
      </c>
    </row>
    <row r="10" spans="1:25" ht="50.1" x14ac:dyDescent="0.2">
      <c r="A10" s="210" t="s">
        <v>708</v>
      </c>
      <c r="B10" s="210" t="s">
        <v>208</v>
      </c>
      <c r="C10" s="210" t="s">
        <v>208</v>
      </c>
      <c r="D10" s="210" t="s">
        <v>208</v>
      </c>
      <c r="E10" s="210"/>
      <c r="F10" s="307">
        <v>7</v>
      </c>
      <c r="G10" s="307">
        <v>7</v>
      </c>
      <c r="H10" s="306" t="s">
        <v>709</v>
      </c>
      <c r="I10" s="240" t="s">
        <v>710</v>
      </c>
      <c r="J10" s="250" t="s">
        <v>183</v>
      </c>
      <c r="K10" s="240" t="s">
        <v>711</v>
      </c>
      <c r="L10" s="274"/>
      <c r="M10" s="216" t="str">
        <f t="shared" si="0"/>
        <v>N/A</v>
      </c>
      <c r="N10" s="250" t="s">
        <v>213</v>
      </c>
      <c r="O10" s="216" t="s">
        <v>214</v>
      </c>
      <c r="P10" s="216" t="s">
        <v>214</v>
      </c>
      <c r="Q10" s="216" t="s">
        <v>214</v>
      </c>
      <c r="R10" s="216" t="s">
        <v>214</v>
      </c>
      <c r="S10" s="216" t="s">
        <v>214</v>
      </c>
      <c r="T10" s="276">
        <f t="shared" si="2"/>
        <v>1</v>
      </c>
      <c r="U10" s="287">
        <f t="shared" si="3"/>
        <v>0</v>
      </c>
      <c r="V10" s="287">
        <f t="shared" si="4"/>
        <v>1</v>
      </c>
      <c r="W10" s="287">
        <f t="shared" si="1"/>
        <v>1</v>
      </c>
    </row>
    <row r="11" spans="1:25" ht="37.6" x14ac:dyDescent="0.2">
      <c r="A11" s="210" t="s">
        <v>712</v>
      </c>
      <c r="B11" s="210" t="s">
        <v>208</v>
      </c>
      <c r="C11" s="210" t="s">
        <v>208</v>
      </c>
      <c r="D11" s="210" t="s">
        <v>208</v>
      </c>
      <c r="E11" s="210"/>
      <c r="F11" s="307">
        <v>7</v>
      </c>
      <c r="G11" s="307">
        <v>8</v>
      </c>
      <c r="H11" s="306" t="s">
        <v>713</v>
      </c>
      <c r="I11" s="240" t="s">
        <v>714</v>
      </c>
      <c r="J11" s="250" t="s">
        <v>183</v>
      </c>
      <c r="K11" s="240" t="s">
        <v>715</v>
      </c>
      <c r="L11" s="274"/>
      <c r="M11" s="216" t="str">
        <f t="shared" si="0"/>
        <v>N/A</v>
      </c>
      <c r="N11" s="250" t="s">
        <v>213</v>
      </c>
      <c r="O11" s="216" t="s">
        <v>214</v>
      </c>
      <c r="P11" s="216" t="s">
        <v>214</v>
      </c>
      <c r="Q11" s="216" t="s">
        <v>214</v>
      </c>
      <c r="R11" s="216" t="s">
        <v>214</v>
      </c>
      <c r="S11" s="216" t="s">
        <v>214</v>
      </c>
      <c r="T11" s="276">
        <f t="shared" si="2"/>
        <v>1</v>
      </c>
      <c r="U11" s="287">
        <f t="shared" si="3"/>
        <v>0</v>
      </c>
      <c r="V11" s="287">
        <f t="shared" si="4"/>
        <v>1</v>
      </c>
      <c r="W11" s="287">
        <f t="shared" si="1"/>
        <v>1</v>
      </c>
    </row>
    <row r="12" spans="1:25" ht="25.05" x14ac:dyDescent="0.2">
      <c r="A12" s="210" t="s">
        <v>716</v>
      </c>
      <c r="B12" s="210" t="s">
        <v>208</v>
      </c>
      <c r="C12" s="210" t="s">
        <v>208</v>
      </c>
      <c r="D12" s="210" t="s">
        <v>208</v>
      </c>
      <c r="E12" s="210"/>
      <c r="F12" s="307">
        <v>7</v>
      </c>
      <c r="G12" s="307">
        <v>9</v>
      </c>
      <c r="H12" s="306" t="s">
        <v>717</v>
      </c>
      <c r="I12" s="240" t="s">
        <v>718</v>
      </c>
      <c r="J12" s="250" t="s">
        <v>183</v>
      </c>
      <c r="K12" s="240" t="s">
        <v>719</v>
      </c>
      <c r="L12" s="274"/>
      <c r="M12" s="216" t="str">
        <f t="shared" si="0"/>
        <v>N/A</v>
      </c>
      <c r="N12" s="250" t="s">
        <v>213</v>
      </c>
      <c r="O12" s="216" t="s">
        <v>214</v>
      </c>
      <c r="P12" s="216" t="s">
        <v>214</v>
      </c>
      <c r="Q12" s="216" t="s">
        <v>214</v>
      </c>
      <c r="R12" s="216" t="s">
        <v>214</v>
      </c>
      <c r="S12" s="216" t="s">
        <v>214</v>
      </c>
      <c r="T12" s="276">
        <f t="shared" si="2"/>
        <v>1</v>
      </c>
      <c r="U12" s="287">
        <f t="shared" si="3"/>
        <v>0</v>
      </c>
      <c r="V12" s="287">
        <f t="shared" si="4"/>
        <v>1</v>
      </c>
      <c r="W12" s="287">
        <f t="shared" si="1"/>
        <v>1</v>
      </c>
    </row>
    <row r="13" spans="1:25" ht="37.6" x14ac:dyDescent="0.2">
      <c r="A13" s="210" t="s">
        <v>720</v>
      </c>
      <c r="B13" s="210" t="s">
        <v>208</v>
      </c>
      <c r="C13" s="210" t="s">
        <v>208</v>
      </c>
      <c r="D13" s="210" t="s">
        <v>208</v>
      </c>
      <c r="E13" s="210"/>
      <c r="F13" s="307">
        <v>7</v>
      </c>
      <c r="G13" s="307">
        <v>10</v>
      </c>
      <c r="H13" s="306" t="s">
        <v>721</v>
      </c>
      <c r="I13" s="240" t="s">
        <v>722</v>
      </c>
      <c r="J13" s="250" t="s">
        <v>183</v>
      </c>
      <c r="K13" s="240" t="s">
        <v>723</v>
      </c>
      <c r="L13" s="274"/>
      <c r="M13" s="216" t="str">
        <f t="shared" si="0"/>
        <v>N/A</v>
      </c>
      <c r="N13" s="250" t="s">
        <v>213</v>
      </c>
      <c r="O13" s="216" t="s">
        <v>214</v>
      </c>
      <c r="P13" s="216" t="s">
        <v>214</v>
      </c>
      <c r="Q13" s="216" t="s">
        <v>214</v>
      </c>
      <c r="R13" s="216" t="s">
        <v>214</v>
      </c>
      <c r="S13" s="216" t="s">
        <v>214</v>
      </c>
      <c r="T13" s="276">
        <f t="shared" si="2"/>
        <v>1</v>
      </c>
      <c r="U13" s="287">
        <f t="shared" si="3"/>
        <v>0</v>
      </c>
      <c r="V13" s="287">
        <f t="shared" si="4"/>
        <v>1</v>
      </c>
      <c r="W13" s="287">
        <f t="shared" si="1"/>
        <v>1</v>
      </c>
    </row>
    <row r="14" spans="1:25" ht="50.1" x14ac:dyDescent="0.2">
      <c r="A14" s="210" t="s">
        <v>724</v>
      </c>
      <c r="B14" s="210" t="s">
        <v>208</v>
      </c>
      <c r="C14" s="210" t="s">
        <v>208</v>
      </c>
      <c r="D14" s="210" t="s">
        <v>208</v>
      </c>
      <c r="E14" s="210"/>
      <c r="F14" s="307">
        <v>7</v>
      </c>
      <c r="G14" s="307">
        <v>11</v>
      </c>
      <c r="H14" s="306" t="s">
        <v>725</v>
      </c>
      <c r="I14" s="240" t="s">
        <v>726</v>
      </c>
      <c r="J14" s="250" t="s">
        <v>183</v>
      </c>
      <c r="K14" s="240" t="s">
        <v>727</v>
      </c>
      <c r="L14" s="274"/>
      <c r="M14" s="216" t="str">
        <f t="shared" si="0"/>
        <v>N/A</v>
      </c>
      <c r="N14" s="250" t="s">
        <v>213</v>
      </c>
      <c r="O14" s="216" t="s">
        <v>214</v>
      </c>
      <c r="P14" s="216" t="s">
        <v>214</v>
      </c>
      <c r="Q14" s="216" t="s">
        <v>214</v>
      </c>
      <c r="R14" s="216" t="s">
        <v>214</v>
      </c>
      <c r="S14" s="216" t="s">
        <v>214</v>
      </c>
      <c r="T14" s="276">
        <f t="shared" si="2"/>
        <v>1</v>
      </c>
      <c r="U14" s="287">
        <f t="shared" si="3"/>
        <v>0</v>
      </c>
      <c r="V14" s="287">
        <f t="shared" si="4"/>
        <v>1</v>
      </c>
      <c r="W14" s="287">
        <f t="shared" si="1"/>
        <v>1</v>
      </c>
    </row>
    <row r="15" spans="1:25" ht="137.75" x14ac:dyDescent="0.2">
      <c r="A15" s="210" t="s">
        <v>728</v>
      </c>
      <c r="B15" s="210" t="s">
        <v>208</v>
      </c>
      <c r="C15" s="210" t="s">
        <v>208</v>
      </c>
      <c r="D15" s="210" t="s">
        <v>208</v>
      </c>
      <c r="E15" s="210"/>
      <c r="F15" s="307">
        <v>7</v>
      </c>
      <c r="G15" s="307">
        <v>12</v>
      </c>
      <c r="H15" s="306" t="s">
        <v>729</v>
      </c>
      <c r="I15" s="362" t="s">
        <v>730</v>
      </c>
      <c r="J15" s="361" t="s">
        <v>182</v>
      </c>
      <c r="K15" s="240" t="s">
        <v>731</v>
      </c>
      <c r="L15" s="274"/>
      <c r="M15" s="216" t="str">
        <f t="shared" si="0"/>
        <v>N/A</v>
      </c>
      <c r="N15" s="250" t="s">
        <v>213</v>
      </c>
      <c r="O15" s="216" t="s">
        <v>214</v>
      </c>
      <c r="P15" s="216" t="s">
        <v>214</v>
      </c>
      <c r="Q15" s="216" t="s">
        <v>214</v>
      </c>
      <c r="R15" s="216" t="s">
        <v>214</v>
      </c>
      <c r="S15" s="216" t="s">
        <v>214</v>
      </c>
      <c r="T15" s="276">
        <f t="shared" si="2"/>
        <v>1</v>
      </c>
      <c r="U15" s="287">
        <f t="shared" si="3"/>
        <v>0</v>
      </c>
      <c r="V15" s="287">
        <f t="shared" si="4"/>
        <v>1</v>
      </c>
      <c r="W15" s="287">
        <f t="shared" si="1"/>
        <v>1</v>
      </c>
    </row>
    <row r="16" spans="1:25" x14ac:dyDescent="0.2">
      <c r="W16" s="287">
        <f>SUM(W4:W15)</f>
        <v>12</v>
      </c>
      <c r="Y16" s="287">
        <f>COUNTIF(N4:N15,"Maturity")</f>
        <v>2</v>
      </c>
    </row>
    <row r="17" spans="12:13" x14ac:dyDescent="0.2">
      <c r="L17" s="271" t="s">
        <v>364</v>
      </c>
      <c r="M17" s="272" t="str">
        <f>IF(W16&gt;0,"โปรดระวัง ท่านยังไม่ได้บันทึกผลการประเมินในข้อดังนี้","ตอบแบบประเมินครบถ้วน")</f>
        <v>โปรดระวัง ท่านยังไม่ได้บันทึกผลการประเมินในข้อดังนี้</v>
      </c>
    </row>
    <row r="18" spans="12:13" ht="25.05" x14ac:dyDescent="0.2">
      <c r="M18" s="358" t="str">
        <f>IF(ISBLANK(L4),_xlfn.CONCAT(A4," , "),"")&amp;IF(ISBLANK(L5),_xlfn.CONCAT(A5," , "),"")&amp; IF(ISBLANK(L6),_xlfn.CONCAT(A6," , "),"")&amp; IF(ISBLANK(L7),_xlfn.CONCAT(A7," , "),"")&amp; IF(ISBLANK(L8),_xlfn.CONCAT(A8," , "),"")&amp; IF(ISBLANK(L9),_xlfn.CONCAT(A9," , "),"")&amp; IF(ISBLANK(L10),_xlfn.CONCAT(A10," , "),"")&amp; IF(ISBLANK(L11),_xlfn.CONCAT(A11," , "),"")&amp; IF(ISBLANK(L12),_xlfn.CONCAT(A12," , "),"")&amp; IF(ISBLANK(L13),_xlfn.CONCAT(A13," , "),"")&amp; IF(ISBLANK(L14),_xlfn.CONCAT(A14," , "),"")&amp; IF(ISBLANK(L15),A15,"")</f>
        <v>D2.7 #1 , D2.7 #2 , D2.7 #3 , D2.7 #4 , D2.7 #5 , D2.7 #6 , D2.7 #7 , D2.7 #8 , D2.7 #9 , D2.7 #10 , D2.7 #11 , D2.7 #12</v>
      </c>
    </row>
  </sheetData>
  <sheetProtection selectLockedCells="1"/>
  <autoFilter ref="B1:S15" xr:uid="{9BB20F48-254A-48A6-AC98-0B6213EA0EC7}"/>
  <conditionalFormatting sqref="M17">
    <cfRule type="containsText" dxfId="13" priority="1" operator="containsText" text="โปรดระวัง ท่านยังไม่ได้บันทึกผลการประเมินในข้อดังนี้">
      <formula>NOT(ISERROR(SEARCH("โปรดระวัง ท่านยังไม่ได้บันทึกผลการประเมินในข้อดังนี้",M17)))</formula>
    </cfRule>
    <cfRule type="containsText" dxfId="12" priority="2" operator="containsText" text="ตอบแบบประเมินครบถ้วน">
      <formula>NOT(ISERROR(SEARCH("ตอบแบบประเมินครบถ้วน",M17)))</formula>
    </cfRule>
  </conditionalFormatting>
  <dataValidations count="3">
    <dataValidation type="list" allowBlank="1" showInputMessage="1" showErrorMessage="1" sqref="N4:N15" xr:uid="{D3F93F64-EFF5-4EAB-B11A-15A912F04B78}">
      <formula1>"Yes/Partial/No, Maturity"</formula1>
    </dataValidation>
    <dataValidation type="list" allowBlank="1" showInputMessage="1" showErrorMessage="1" sqref="L5:L6" xr:uid="{08189885-3F81-4DA7-924C-CC142F7828CE}">
      <formula1>"M1,M2,M3,M4,M5,N/A"</formula1>
    </dataValidation>
    <dataValidation type="list" allowBlank="1" showInputMessage="1" showErrorMessage="1" sqref="L4 L7:L15" xr:uid="{5BD08723-BC87-4F0A-9E77-3EA8BCAC64AD}">
      <formula1>"Yes,Partial,No,N/A"</formula1>
    </dataValidation>
  </dataValidations>
  <pageMargins left="0.25" right="0.25" top="0.5" bottom="0.5" header="0.3" footer="0.3"/>
  <pageSetup paperSize="9" scale="70" pageOrder="overThenDown" orientation="landscape" horizontalDpi="1200" verticalDpi="1200" r:id="rId1"/>
  <headerFooter>
    <oddHeader>&amp;L&amp;"TH Sarabun New,Regular"&amp;14แนวทางการประเมินสำหรับผู้ประกอบธุรกิจภายใต้หน่วยงานกำกับดูแล (IT Audit Program)&amp;R&amp;"TH Sarabun New,Regular"&amp;14Authorised Restricted Use – Confidential</oddHeader>
    <oddFooter>&amp;L&amp;"TH Sarabun New,Regular"&amp;14หมวด 2.8 การรักษาความมั่นคงปลอดภัยทางกายภาพและสภาพแวดล้อม (physical and environmental security)&amp;R&amp;"TH Sarabun New,Regular"&amp;14&amp;P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D2C226-6C13-48E4-AAF6-0D47FFC264A6}">
  <sheetPr codeName="Sheet19" filterMode="1">
    <tabColor theme="9" tint="0.39997558519241921"/>
  </sheetPr>
  <dimension ref="A1:Y99"/>
  <sheetViews>
    <sheetView showGridLines="0" zoomScale="85" zoomScaleNormal="85" zoomScaleSheetLayoutView="70" workbookViewId="0">
      <pane ySplit="1" topLeftCell="A26" activePane="bottomLeft" state="frozen"/>
      <selection pane="bottomLeft" activeCell="I27" sqref="I27"/>
    </sheetView>
  </sheetViews>
  <sheetFormatPr defaultColWidth="9.09765625" defaultRowHeight="12.55" x14ac:dyDescent="0.2"/>
  <cols>
    <col min="1" max="1" width="10.19921875" style="241" customWidth="1"/>
    <col min="2" max="5" width="9.19921875" style="209" customWidth="1"/>
    <col min="6" max="6" width="15.19921875" style="427" customWidth="1"/>
    <col min="7" max="7" width="15.19921875" style="428" customWidth="1"/>
    <col min="8" max="8" width="18.19921875" style="428" customWidth="1"/>
    <col min="9" max="9" width="50.19921875" style="241" customWidth="1"/>
    <col min="10" max="10" width="20.19921875" style="241" customWidth="1"/>
    <col min="11" max="11" width="120.19921875" style="429" customWidth="1"/>
    <col min="12" max="12" width="18.69921875" style="209" customWidth="1"/>
    <col min="13" max="13" width="50.69921875" style="241" customWidth="1"/>
    <col min="14" max="14" width="33.09765625" style="209" bestFit="1" customWidth="1"/>
    <col min="15" max="15" width="48.19921875" style="429" bestFit="1" customWidth="1"/>
    <col min="16" max="17" width="49.19921875" style="429" bestFit="1" customWidth="1"/>
    <col min="18" max="18" width="49.69921875" style="429" bestFit="1" customWidth="1"/>
    <col min="19" max="19" width="50" style="429" bestFit="1" customWidth="1"/>
    <col min="20" max="22" width="2.19921875" style="241" hidden="1" customWidth="1"/>
    <col min="23" max="25" width="9.09765625" style="241" hidden="1" customWidth="1"/>
    <col min="26" max="26" width="6" style="241" customWidth="1"/>
    <col min="27" max="16384" width="9.09765625" style="241"/>
  </cols>
  <sheetData>
    <row r="1" spans="1:23" s="209" customFormat="1" ht="37.6" x14ac:dyDescent="0.2">
      <c r="A1" s="198" t="s">
        <v>181</v>
      </c>
      <c r="B1" s="199" t="s">
        <v>182</v>
      </c>
      <c r="C1" s="200" t="s">
        <v>183</v>
      </c>
      <c r="D1" s="201" t="s">
        <v>184</v>
      </c>
      <c r="E1" s="202" t="s">
        <v>185</v>
      </c>
      <c r="F1" s="198" t="s">
        <v>186</v>
      </c>
      <c r="G1" s="203" t="s">
        <v>187</v>
      </c>
      <c r="H1" s="204" t="s">
        <v>188</v>
      </c>
      <c r="I1" s="205" t="s">
        <v>189</v>
      </c>
      <c r="J1" s="206" t="s">
        <v>190</v>
      </c>
      <c r="K1" s="206" t="s">
        <v>191</v>
      </c>
      <c r="L1" s="206" t="s">
        <v>192</v>
      </c>
      <c r="M1" s="206" t="s">
        <v>111</v>
      </c>
      <c r="N1" s="206" t="s">
        <v>193</v>
      </c>
      <c r="O1" s="207" t="s">
        <v>194</v>
      </c>
      <c r="P1" s="207" t="s">
        <v>195</v>
      </c>
      <c r="Q1" s="208" t="s">
        <v>196</v>
      </c>
      <c r="R1" s="208" t="s">
        <v>197</v>
      </c>
      <c r="S1" s="207" t="s">
        <v>198</v>
      </c>
    </row>
    <row r="2" spans="1:23" hidden="1" x14ac:dyDescent="0.2">
      <c r="A2" s="314"/>
      <c r="B2" s="314"/>
      <c r="C2" s="314"/>
      <c r="D2" s="314"/>
      <c r="E2" s="315"/>
      <c r="F2" s="316" t="s">
        <v>365</v>
      </c>
      <c r="G2" s="317"/>
      <c r="H2" s="318"/>
      <c r="I2" s="314"/>
      <c r="J2" s="278"/>
      <c r="K2" s="405"/>
      <c r="L2" s="319"/>
      <c r="M2" s="319"/>
      <c r="N2" s="319"/>
      <c r="O2" s="320" t="s">
        <v>200</v>
      </c>
      <c r="P2" s="286" t="s">
        <v>201</v>
      </c>
      <c r="Q2" s="320" t="s">
        <v>202</v>
      </c>
      <c r="R2" s="320" t="s">
        <v>203</v>
      </c>
      <c r="S2" s="320" t="s">
        <v>204</v>
      </c>
      <c r="T2" s="209"/>
    </row>
    <row r="3" spans="1:23" s="296" customFormat="1" hidden="1" x14ac:dyDescent="0.2">
      <c r="A3" s="289"/>
      <c r="B3" s="289"/>
      <c r="C3" s="289"/>
      <c r="D3" s="289"/>
      <c r="E3" s="289"/>
      <c r="F3" s="291" t="s">
        <v>732</v>
      </c>
      <c r="G3" s="321"/>
      <c r="H3" s="322"/>
      <c r="I3" s="289"/>
      <c r="J3" s="289"/>
      <c r="K3" s="406"/>
      <c r="L3" s="289"/>
      <c r="M3" s="289"/>
      <c r="N3" s="289"/>
      <c r="O3" s="407"/>
      <c r="P3" s="407"/>
      <c r="Q3" s="407"/>
      <c r="R3" s="407"/>
      <c r="S3" s="407"/>
      <c r="T3" s="209"/>
      <c r="U3" s="241"/>
      <c r="V3" s="241"/>
      <c r="W3" s="241"/>
    </row>
    <row r="4" spans="1:23" s="287" customFormat="1" hidden="1" x14ac:dyDescent="0.2">
      <c r="A4" s="323"/>
      <c r="B4" s="323"/>
      <c r="C4" s="323"/>
      <c r="D4" s="323"/>
      <c r="E4" s="324"/>
      <c r="F4" s="408" t="s">
        <v>733</v>
      </c>
      <c r="G4" s="409"/>
      <c r="H4" s="410"/>
      <c r="I4" s="323"/>
      <c r="J4" s="298"/>
      <c r="K4" s="411"/>
      <c r="L4" s="323"/>
      <c r="M4" s="323"/>
      <c r="N4" s="328"/>
      <c r="O4" s="328"/>
      <c r="P4" s="328"/>
      <c r="Q4" s="329"/>
      <c r="R4" s="330"/>
      <c r="S4" s="330"/>
      <c r="T4" s="209"/>
      <c r="U4" s="241"/>
      <c r="V4" s="241"/>
      <c r="W4" s="241"/>
    </row>
    <row r="5" spans="1:23" ht="125.25" x14ac:dyDescent="0.2">
      <c r="A5" s="210" t="s">
        <v>734</v>
      </c>
      <c r="B5" s="210" t="s">
        <v>208</v>
      </c>
      <c r="C5" s="210" t="s">
        <v>208</v>
      </c>
      <c r="D5" s="210" t="s">
        <v>208</v>
      </c>
      <c r="E5" s="217" t="s">
        <v>208</v>
      </c>
      <c r="F5" s="331">
        <v>8.1</v>
      </c>
      <c r="G5" s="306">
        <v>1</v>
      </c>
      <c r="H5" s="306" t="s">
        <v>735</v>
      </c>
      <c r="I5" s="412" t="s">
        <v>736</v>
      </c>
      <c r="J5" s="264" t="s">
        <v>183</v>
      </c>
      <c r="K5" s="216" t="s">
        <v>737</v>
      </c>
      <c r="L5" s="274"/>
      <c r="M5" s="216" t="str">
        <f>IFERROR(IF(N5="Maturity",HLOOKUP(L5,$O$2:$S$201,ROW()-1,0),"N/A"),"")</f>
        <v>N/A</v>
      </c>
      <c r="N5" s="210" t="s">
        <v>213</v>
      </c>
      <c r="O5" s="400" t="s">
        <v>214</v>
      </c>
      <c r="P5" s="400" t="s">
        <v>214</v>
      </c>
      <c r="Q5" s="400" t="s">
        <v>214</v>
      </c>
      <c r="R5" s="400" t="s">
        <v>214</v>
      </c>
      <c r="S5" s="400" t="s">
        <v>214</v>
      </c>
      <c r="T5" s="209">
        <f>IF(OR(L5="Yes",L5="M3",L5="M4",L5="M5"),3,IF(OR(L5="Partial",L5="M2"),2,IF(L5="N/A",0,1)))</f>
        <v>1</v>
      </c>
      <c r="U5" s="241">
        <f>IF(L5="M4",1,IF(L5="M5",2,0))</f>
        <v>0</v>
      </c>
      <c r="V5" s="241">
        <f>T5+U5</f>
        <v>1</v>
      </c>
      <c r="W5" s="241">
        <f t="shared" ref="W5:W71" si="0">IF(ISBLANK(L5),1,0)</f>
        <v>1</v>
      </c>
    </row>
    <row r="6" spans="1:23" ht="37.6" x14ac:dyDescent="0.2">
      <c r="A6" s="210" t="s">
        <v>738</v>
      </c>
      <c r="B6" s="210" t="s">
        <v>208</v>
      </c>
      <c r="C6" s="210" t="s">
        <v>208</v>
      </c>
      <c r="D6" s="210" t="s">
        <v>208</v>
      </c>
      <c r="E6" s="217" t="s">
        <v>208</v>
      </c>
      <c r="F6" s="331">
        <v>8.1</v>
      </c>
      <c r="G6" s="306">
        <v>2</v>
      </c>
      <c r="H6" s="306" t="s">
        <v>739</v>
      </c>
      <c r="I6" s="412" t="s">
        <v>740</v>
      </c>
      <c r="J6" s="264" t="s">
        <v>183</v>
      </c>
      <c r="K6" s="216" t="s">
        <v>741</v>
      </c>
      <c r="L6" s="274"/>
      <c r="M6" s="216" t="str">
        <f>IFERROR(IF(N6="Maturity",HLOOKUP(L6,$O$2:$S$201,ROW()-1,0),"N/A"),"")</f>
        <v>N/A</v>
      </c>
      <c r="N6" s="210" t="s">
        <v>213</v>
      </c>
      <c r="O6" s="400" t="s">
        <v>214</v>
      </c>
      <c r="P6" s="400" t="s">
        <v>214</v>
      </c>
      <c r="Q6" s="400" t="s">
        <v>214</v>
      </c>
      <c r="R6" s="400" t="s">
        <v>214</v>
      </c>
      <c r="S6" s="400" t="s">
        <v>214</v>
      </c>
      <c r="T6" s="209">
        <f t="shared" ref="T6:T70" si="1">IF(OR(L6="Yes",L6="M3",L6="M4",L6="M5"),3,IF(OR(L6="Partial",L6="M2"),2,IF(L6="N/A",0,1)))</f>
        <v>1</v>
      </c>
      <c r="U6" s="241">
        <f t="shared" ref="U6:U70" si="2">IF(L6="M4",1,IF(L6="M5",2,0))</f>
        <v>0</v>
      </c>
      <c r="V6" s="241">
        <f t="shared" ref="V6:V70" si="3">T6+U6</f>
        <v>1</v>
      </c>
      <c r="W6" s="241">
        <f t="shared" si="0"/>
        <v>1</v>
      </c>
    </row>
    <row r="7" spans="1:23" ht="37.6" x14ac:dyDescent="0.2">
      <c r="A7" s="210" t="s">
        <v>742</v>
      </c>
      <c r="B7" s="210" t="s">
        <v>208</v>
      </c>
      <c r="C7" s="210" t="s">
        <v>208</v>
      </c>
      <c r="D7" s="210" t="s">
        <v>208</v>
      </c>
      <c r="E7" s="217" t="s">
        <v>208</v>
      </c>
      <c r="F7" s="335">
        <v>8.1</v>
      </c>
      <c r="G7" s="307">
        <v>3</v>
      </c>
      <c r="H7" s="306" t="s">
        <v>743</v>
      </c>
      <c r="I7" s="412" t="s">
        <v>744</v>
      </c>
      <c r="J7" s="264" t="s">
        <v>183</v>
      </c>
      <c r="K7" s="344" t="s">
        <v>745</v>
      </c>
      <c r="L7" s="274"/>
      <c r="M7" s="216" t="str">
        <f>IFERROR(IF(N7="Maturity",HLOOKUP(L7,$O$2:$S$201,ROW()-1,0),"N/A"),"")</f>
        <v>N/A</v>
      </c>
      <c r="N7" s="210" t="s">
        <v>213</v>
      </c>
      <c r="O7" s="400" t="s">
        <v>214</v>
      </c>
      <c r="P7" s="400" t="s">
        <v>214</v>
      </c>
      <c r="Q7" s="400" t="s">
        <v>214</v>
      </c>
      <c r="R7" s="400" t="s">
        <v>214</v>
      </c>
      <c r="S7" s="400" t="s">
        <v>214</v>
      </c>
      <c r="T7" s="209">
        <f t="shared" si="1"/>
        <v>1</v>
      </c>
      <c r="U7" s="241">
        <f t="shared" si="2"/>
        <v>0</v>
      </c>
      <c r="V7" s="241">
        <f t="shared" si="3"/>
        <v>1</v>
      </c>
      <c r="W7" s="241">
        <f t="shared" si="0"/>
        <v>1</v>
      </c>
    </row>
    <row r="8" spans="1:23" ht="132.30000000000001" customHeight="1" x14ac:dyDescent="0.2">
      <c r="A8" s="210" t="s">
        <v>746</v>
      </c>
      <c r="B8" s="210" t="s">
        <v>208</v>
      </c>
      <c r="C8" s="210" t="s">
        <v>208</v>
      </c>
      <c r="D8" s="210" t="s">
        <v>208</v>
      </c>
      <c r="E8" s="217" t="s">
        <v>208</v>
      </c>
      <c r="F8" s="335">
        <v>8.1</v>
      </c>
      <c r="G8" s="307">
        <v>4</v>
      </c>
      <c r="H8" s="306" t="s">
        <v>747</v>
      </c>
      <c r="I8" s="413" t="s">
        <v>748</v>
      </c>
      <c r="J8" s="210" t="s">
        <v>183</v>
      </c>
      <c r="K8" s="414" t="s">
        <v>749</v>
      </c>
      <c r="L8" s="274"/>
      <c r="M8" s="216" t="str">
        <f>IFERROR(IF(N8="Maturity",HLOOKUP(L8,$O$2:$S$201,ROW()-1,0),"N/A"),"")</f>
        <v/>
      </c>
      <c r="N8" s="210" t="s">
        <v>219</v>
      </c>
      <c r="O8" s="216" t="s">
        <v>750</v>
      </c>
      <c r="P8" s="216" t="s">
        <v>751</v>
      </c>
      <c r="Q8" s="216" t="s">
        <v>752</v>
      </c>
      <c r="R8" s="216" t="s">
        <v>753</v>
      </c>
      <c r="S8" s="216" t="s">
        <v>754</v>
      </c>
      <c r="T8" s="209">
        <f t="shared" si="1"/>
        <v>1</v>
      </c>
      <c r="U8" s="241">
        <f t="shared" si="2"/>
        <v>0</v>
      </c>
      <c r="V8" s="241">
        <f t="shared" si="3"/>
        <v>1</v>
      </c>
      <c r="W8" s="241">
        <f t="shared" si="0"/>
        <v>1</v>
      </c>
    </row>
    <row r="9" spans="1:23" s="287" customFormat="1" hidden="1" x14ac:dyDescent="0.2">
      <c r="A9" s="298"/>
      <c r="B9" s="298"/>
      <c r="C9" s="298"/>
      <c r="D9" s="298"/>
      <c r="E9" s="299"/>
      <c r="F9" s="300" t="s">
        <v>755</v>
      </c>
      <c r="G9" s="415"/>
      <c r="H9" s="416"/>
      <c r="I9" s="298"/>
      <c r="J9" s="298"/>
      <c r="K9" s="411"/>
      <c r="L9" s="298"/>
      <c r="M9" s="298"/>
      <c r="N9" s="303"/>
      <c r="O9" s="303"/>
      <c r="P9" s="303"/>
      <c r="Q9" s="304"/>
      <c r="R9" s="417"/>
      <c r="S9" s="417"/>
      <c r="T9" s="209">
        <f t="shared" si="1"/>
        <v>1</v>
      </c>
      <c r="U9" s="241">
        <f t="shared" si="2"/>
        <v>0</v>
      </c>
      <c r="V9" s="241">
        <f t="shared" si="3"/>
        <v>1</v>
      </c>
      <c r="W9" s="241"/>
    </row>
    <row r="10" spans="1:23" ht="37.6" hidden="1" x14ac:dyDescent="0.2">
      <c r="A10" s="210" t="s">
        <v>756</v>
      </c>
      <c r="B10" s="210" t="s">
        <v>208</v>
      </c>
      <c r="C10" s="210" t="s">
        <v>208</v>
      </c>
      <c r="D10" s="210" t="s">
        <v>208</v>
      </c>
      <c r="E10" s="217"/>
      <c r="F10" s="335">
        <v>8.1999999999999993</v>
      </c>
      <c r="G10" s="307">
        <v>1</v>
      </c>
      <c r="H10" s="306" t="s">
        <v>757</v>
      </c>
      <c r="I10" s="413" t="s">
        <v>758</v>
      </c>
      <c r="J10" s="264" t="s">
        <v>183</v>
      </c>
      <c r="K10" s="216" t="s">
        <v>759</v>
      </c>
      <c r="L10" s="274"/>
      <c r="M10" s="216" t="str">
        <f t="shared" ref="M10:M19" si="4">IFERROR(IF(N10="Maturity",HLOOKUP(L10,$O$2:$S$201,ROW()-1,0),"N/A"),"")</f>
        <v>N/A</v>
      </c>
      <c r="N10" s="210" t="s">
        <v>213</v>
      </c>
      <c r="O10" s="400" t="s">
        <v>214</v>
      </c>
      <c r="P10" s="400" t="s">
        <v>214</v>
      </c>
      <c r="Q10" s="400" t="s">
        <v>214</v>
      </c>
      <c r="R10" s="400" t="s">
        <v>214</v>
      </c>
      <c r="S10" s="400" t="s">
        <v>214</v>
      </c>
      <c r="T10" s="209">
        <f t="shared" si="1"/>
        <v>1</v>
      </c>
      <c r="U10" s="241">
        <f t="shared" si="2"/>
        <v>0</v>
      </c>
      <c r="V10" s="241">
        <f t="shared" si="3"/>
        <v>1</v>
      </c>
      <c r="W10" s="241">
        <f t="shared" si="0"/>
        <v>1</v>
      </c>
    </row>
    <row r="11" spans="1:23" ht="112.7" hidden="1" x14ac:dyDescent="0.2">
      <c r="A11" s="210" t="s">
        <v>760</v>
      </c>
      <c r="B11" s="210" t="s">
        <v>208</v>
      </c>
      <c r="C11" s="210" t="s">
        <v>208</v>
      </c>
      <c r="D11" s="210" t="s">
        <v>208</v>
      </c>
      <c r="E11" s="217"/>
      <c r="F11" s="335">
        <v>8.1999999999999993</v>
      </c>
      <c r="G11" s="307">
        <v>2</v>
      </c>
      <c r="H11" s="306" t="s">
        <v>761</v>
      </c>
      <c r="I11" s="413" t="s">
        <v>762</v>
      </c>
      <c r="J11" s="264" t="s">
        <v>183</v>
      </c>
      <c r="K11" s="216" t="s">
        <v>763</v>
      </c>
      <c r="L11" s="274"/>
      <c r="M11" s="216" t="str">
        <f t="shared" si="4"/>
        <v>N/A</v>
      </c>
      <c r="N11" s="210" t="s">
        <v>213</v>
      </c>
      <c r="O11" s="400" t="s">
        <v>214</v>
      </c>
      <c r="P11" s="400" t="s">
        <v>214</v>
      </c>
      <c r="Q11" s="400" t="s">
        <v>214</v>
      </c>
      <c r="R11" s="400" t="s">
        <v>214</v>
      </c>
      <c r="S11" s="400" t="s">
        <v>214</v>
      </c>
      <c r="T11" s="209">
        <f t="shared" si="1"/>
        <v>1</v>
      </c>
      <c r="U11" s="241">
        <f t="shared" si="2"/>
        <v>0</v>
      </c>
      <c r="V11" s="241">
        <f t="shared" si="3"/>
        <v>1</v>
      </c>
      <c r="W11" s="241">
        <f t="shared" si="0"/>
        <v>1</v>
      </c>
    </row>
    <row r="12" spans="1:23" ht="62.65" hidden="1" x14ac:dyDescent="0.2">
      <c r="A12" s="210" t="s">
        <v>764</v>
      </c>
      <c r="B12" s="210" t="s">
        <v>208</v>
      </c>
      <c r="C12" s="210" t="s">
        <v>208</v>
      </c>
      <c r="D12" s="210" t="s">
        <v>208</v>
      </c>
      <c r="E12" s="217"/>
      <c r="F12" s="335">
        <v>8.1999999999999993</v>
      </c>
      <c r="G12" s="307">
        <v>3</v>
      </c>
      <c r="H12" s="306" t="s">
        <v>765</v>
      </c>
      <c r="I12" s="413" t="s">
        <v>766</v>
      </c>
      <c r="J12" s="264" t="s">
        <v>183</v>
      </c>
      <c r="K12" s="216" t="s">
        <v>767</v>
      </c>
      <c r="L12" s="274"/>
      <c r="M12" s="216" t="str">
        <f t="shared" si="4"/>
        <v>N/A</v>
      </c>
      <c r="N12" s="210" t="s">
        <v>213</v>
      </c>
      <c r="O12" s="400" t="s">
        <v>214</v>
      </c>
      <c r="P12" s="400" t="s">
        <v>214</v>
      </c>
      <c r="Q12" s="400" t="s">
        <v>214</v>
      </c>
      <c r="R12" s="400" t="s">
        <v>214</v>
      </c>
      <c r="S12" s="400" t="s">
        <v>214</v>
      </c>
      <c r="T12" s="209">
        <f t="shared" si="1"/>
        <v>1</v>
      </c>
      <c r="U12" s="241">
        <f t="shared" si="2"/>
        <v>0</v>
      </c>
      <c r="V12" s="241">
        <f t="shared" si="3"/>
        <v>1</v>
      </c>
      <c r="W12" s="241">
        <f t="shared" si="0"/>
        <v>1</v>
      </c>
    </row>
    <row r="13" spans="1:23" ht="62.65" hidden="1" x14ac:dyDescent="0.2">
      <c r="A13" s="210" t="s">
        <v>768</v>
      </c>
      <c r="B13" s="210" t="s">
        <v>208</v>
      </c>
      <c r="C13" s="210" t="s">
        <v>208</v>
      </c>
      <c r="D13" s="210" t="s">
        <v>208</v>
      </c>
      <c r="E13" s="217"/>
      <c r="F13" s="335">
        <v>8.1999999999999993</v>
      </c>
      <c r="G13" s="307">
        <v>4</v>
      </c>
      <c r="H13" s="306" t="s">
        <v>769</v>
      </c>
      <c r="I13" s="413" t="s">
        <v>770</v>
      </c>
      <c r="J13" s="210" t="s">
        <v>183</v>
      </c>
      <c r="K13" s="216" t="s">
        <v>771</v>
      </c>
      <c r="L13" s="274"/>
      <c r="M13" s="216" t="str">
        <f t="shared" si="4"/>
        <v>N/A</v>
      </c>
      <c r="N13" s="210" t="s">
        <v>213</v>
      </c>
      <c r="O13" s="344" t="s">
        <v>214</v>
      </c>
      <c r="P13" s="344" t="s">
        <v>214</v>
      </c>
      <c r="Q13" s="344" t="s">
        <v>214</v>
      </c>
      <c r="R13" s="344" t="s">
        <v>214</v>
      </c>
      <c r="S13" s="344" t="s">
        <v>214</v>
      </c>
      <c r="T13" s="209">
        <f t="shared" si="1"/>
        <v>1</v>
      </c>
      <c r="U13" s="241">
        <f t="shared" si="2"/>
        <v>0</v>
      </c>
      <c r="V13" s="241">
        <f t="shared" si="3"/>
        <v>1</v>
      </c>
      <c r="W13" s="241">
        <f t="shared" si="0"/>
        <v>1</v>
      </c>
    </row>
    <row r="14" spans="1:23" ht="75.150000000000006" hidden="1" x14ac:dyDescent="0.2">
      <c r="A14" s="210" t="s">
        <v>772</v>
      </c>
      <c r="B14" s="210" t="s">
        <v>208</v>
      </c>
      <c r="C14" s="210" t="s">
        <v>208</v>
      </c>
      <c r="D14" s="210" t="s">
        <v>208</v>
      </c>
      <c r="E14" s="217"/>
      <c r="F14" s="335">
        <v>8.1999999999999993</v>
      </c>
      <c r="G14" s="307">
        <v>5</v>
      </c>
      <c r="H14" s="306" t="s">
        <v>773</v>
      </c>
      <c r="I14" s="413" t="s">
        <v>774</v>
      </c>
      <c r="J14" s="264" t="s">
        <v>183</v>
      </c>
      <c r="K14" s="221" t="s">
        <v>775</v>
      </c>
      <c r="L14" s="274"/>
      <c r="M14" s="216" t="str">
        <f t="shared" si="4"/>
        <v>N/A</v>
      </c>
      <c r="N14" s="210" t="s">
        <v>213</v>
      </c>
      <c r="O14" s="344" t="s">
        <v>214</v>
      </c>
      <c r="P14" s="344" t="s">
        <v>214</v>
      </c>
      <c r="Q14" s="344" t="s">
        <v>214</v>
      </c>
      <c r="R14" s="344" t="s">
        <v>214</v>
      </c>
      <c r="S14" s="344" t="s">
        <v>214</v>
      </c>
      <c r="T14" s="209">
        <f t="shared" si="1"/>
        <v>1</v>
      </c>
      <c r="U14" s="241">
        <f t="shared" si="2"/>
        <v>0</v>
      </c>
      <c r="V14" s="241">
        <f t="shared" si="3"/>
        <v>1</v>
      </c>
      <c r="W14" s="241">
        <f t="shared" si="0"/>
        <v>1</v>
      </c>
    </row>
    <row r="15" spans="1:23" ht="112.7" hidden="1" x14ac:dyDescent="0.2">
      <c r="A15" s="210" t="s">
        <v>776</v>
      </c>
      <c r="B15" s="210" t="s">
        <v>208</v>
      </c>
      <c r="C15" s="210" t="s">
        <v>208</v>
      </c>
      <c r="D15" s="210" t="s">
        <v>208</v>
      </c>
      <c r="E15" s="217"/>
      <c r="F15" s="335">
        <v>8.1999999999999993</v>
      </c>
      <c r="G15" s="307">
        <v>6</v>
      </c>
      <c r="H15" s="306" t="s">
        <v>777</v>
      </c>
      <c r="I15" s="413" t="s">
        <v>778</v>
      </c>
      <c r="J15" s="210" t="s">
        <v>183</v>
      </c>
      <c r="K15" s="216" t="s">
        <v>779</v>
      </c>
      <c r="L15" s="274"/>
      <c r="M15" s="216" t="str">
        <f t="shared" si="4"/>
        <v>N/A</v>
      </c>
      <c r="N15" s="210" t="s">
        <v>213</v>
      </c>
      <c r="O15" s="344" t="s">
        <v>214</v>
      </c>
      <c r="P15" s="344" t="s">
        <v>214</v>
      </c>
      <c r="Q15" s="344" t="s">
        <v>214</v>
      </c>
      <c r="R15" s="344" t="s">
        <v>214</v>
      </c>
      <c r="S15" s="344" t="s">
        <v>214</v>
      </c>
      <c r="T15" s="209">
        <f t="shared" si="1"/>
        <v>1</v>
      </c>
      <c r="U15" s="241">
        <f t="shared" si="2"/>
        <v>0</v>
      </c>
      <c r="V15" s="241">
        <f t="shared" si="3"/>
        <v>1</v>
      </c>
      <c r="W15" s="241">
        <f t="shared" si="0"/>
        <v>1</v>
      </c>
    </row>
    <row r="16" spans="1:23" ht="37.6" hidden="1" x14ac:dyDescent="0.2">
      <c r="A16" s="210" t="s">
        <v>780</v>
      </c>
      <c r="B16" s="210" t="s">
        <v>208</v>
      </c>
      <c r="C16" s="210" t="s">
        <v>208</v>
      </c>
      <c r="D16" s="210" t="s">
        <v>208</v>
      </c>
      <c r="E16" s="217"/>
      <c r="F16" s="335">
        <v>8.1999999999999993</v>
      </c>
      <c r="G16" s="307">
        <v>7</v>
      </c>
      <c r="H16" s="306" t="s">
        <v>781</v>
      </c>
      <c r="I16" s="413" t="s">
        <v>782</v>
      </c>
      <c r="J16" s="264" t="s">
        <v>183</v>
      </c>
      <c r="K16" s="216" t="s">
        <v>783</v>
      </c>
      <c r="L16" s="274"/>
      <c r="M16" s="216" t="str">
        <f t="shared" si="4"/>
        <v>N/A</v>
      </c>
      <c r="N16" s="210" t="s">
        <v>213</v>
      </c>
      <c r="O16" s="400" t="s">
        <v>214</v>
      </c>
      <c r="P16" s="400" t="s">
        <v>214</v>
      </c>
      <c r="Q16" s="400" t="s">
        <v>214</v>
      </c>
      <c r="R16" s="400" t="s">
        <v>214</v>
      </c>
      <c r="S16" s="400" t="s">
        <v>214</v>
      </c>
      <c r="T16" s="209">
        <f t="shared" si="1"/>
        <v>1</v>
      </c>
      <c r="U16" s="241">
        <f t="shared" si="2"/>
        <v>0</v>
      </c>
      <c r="V16" s="241">
        <f t="shared" si="3"/>
        <v>1</v>
      </c>
      <c r="W16" s="241">
        <f t="shared" si="0"/>
        <v>1</v>
      </c>
    </row>
    <row r="17" spans="1:23" ht="62.65" hidden="1" x14ac:dyDescent="0.2">
      <c r="A17" s="210" t="s">
        <v>784</v>
      </c>
      <c r="B17" s="210" t="s">
        <v>208</v>
      </c>
      <c r="C17" s="210" t="s">
        <v>208</v>
      </c>
      <c r="D17" s="210" t="s">
        <v>208</v>
      </c>
      <c r="E17" s="217"/>
      <c r="F17" s="335">
        <v>8.1999999999999993</v>
      </c>
      <c r="G17" s="307">
        <v>8</v>
      </c>
      <c r="H17" s="306" t="s">
        <v>785</v>
      </c>
      <c r="I17" s="413" t="s">
        <v>786</v>
      </c>
      <c r="J17" s="264" t="s">
        <v>183</v>
      </c>
      <c r="K17" s="216" t="s">
        <v>787</v>
      </c>
      <c r="L17" s="274"/>
      <c r="M17" s="216" t="str">
        <f t="shared" si="4"/>
        <v>N/A</v>
      </c>
      <c r="N17" s="210" t="s">
        <v>213</v>
      </c>
      <c r="O17" s="400" t="s">
        <v>214</v>
      </c>
      <c r="P17" s="400" t="s">
        <v>214</v>
      </c>
      <c r="Q17" s="400" t="s">
        <v>214</v>
      </c>
      <c r="R17" s="400" t="s">
        <v>214</v>
      </c>
      <c r="S17" s="400" t="s">
        <v>214</v>
      </c>
      <c r="T17" s="209">
        <f t="shared" si="1"/>
        <v>1</v>
      </c>
      <c r="U17" s="241">
        <f t="shared" si="2"/>
        <v>0</v>
      </c>
      <c r="V17" s="241">
        <f t="shared" si="3"/>
        <v>1</v>
      </c>
      <c r="W17" s="241">
        <f t="shared" si="0"/>
        <v>1</v>
      </c>
    </row>
    <row r="18" spans="1:23" ht="75.150000000000006" hidden="1" x14ac:dyDescent="0.2">
      <c r="A18" s="210" t="s">
        <v>788</v>
      </c>
      <c r="B18" s="210" t="s">
        <v>208</v>
      </c>
      <c r="C18" s="210" t="s">
        <v>208</v>
      </c>
      <c r="D18" s="210" t="s">
        <v>208</v>
      </c>
      <c r="E18" s="217"/>
      <c r="F18" s="335">
        <v>8.1999999999999993</v>
      </c>
      <c r="G18" s="307">
        <v>9</v>
      </c>
      <c r="H18" s="306" t="s">
        <v>789</v>
      </c>
      <c r="I18" s="413" t="s">
        <v>790</v>
      </c>
      <c r="J18" s="264" t="s">
        <v>183</v>
      </c>
      <c r="K18" s="216" t="s">
        <v>791</v>
      </c>
      <c r="L18" s="274"/>
      <c r="M18" s="216" t="str">
        <f t="shared" si="4"/>
        <v>N/A</v>
      </c>
      <c r="N18" s="210" t="s">
        <v>213</v>
      </c>
      <c r="O18" s="400" t="s">
        <v>214</v>
      </c>
      <c r="P18" s="400" t="s">
        <v>214</v>
      </c>
      <c r="Q18" s="400" t="s">
        <v>214</v>
      </c>
      <c r="R18" s="400" t="s">
        <v>214</v>
      </c>
      <c r="S18" s="400" t="s">
        <v>214</v>
      </c>
      <c r="T18" s="209">
        <f t="shared" si="1"/>
        <v>1</v>
      </c>
      <c r="U18" s="241">
        <f t="shared" si="2"/>
        <v>0</v>
      </c>
      <c r="V18" s="241">
        <f t="shared" si="3"/>
        <v>1</v>
      </c>
      <c r="W18" s="241">
        <f t="shared" si="0"/>
        <v>1</v>
      </c>
    </row>
    <row r="19" spans="1:23" ht="124" hidden="1" customHeight="1" x14ac:dyDescent="0.2">
      <c r="A19" s="210" t="s">
        <v>792</v>
      </c>
      <c r="B19" s="210" t="s">
        <v>208</v>
      </c>
      <c r="C19" s="210"/>
      <c r="D19" s="210"/>
      <c r="E19" s="217"/>
      <c r="F19" s="335">
        <v>8.1999999999999993</v>
      </c>
      <c r="G19" s="307">
        <v>10</v>
      </c>
      <c r="H19" s="306" t="s">
        <v>793</v>
      </c>
      <c r="I19" s="413" t="s">
        <v>794</v>
      </c>
      <c r="J19" s="210" t="s">
        <v>183</v>
      </c>
      <c r="K19" s="344" t="s">
        <v>795</v>
      </c>
      <c r="L19" s="274"/>
      <c r="M19" s="216" t="str">
        <f t="shared" si="4"/>
        <v>N/A</v>
      </c>
      <c r="N19" s="210" t="s">
        <v>213</v>
      </c>
      <c r="O19" s="344" t="s">
        <v>214</v>
      </c>
      <c r="P19" s="344" t="s">
        <v>214</v>
      </c>
      <c r="Q19" s="344" t="s">
        <v>214</v>
      </c>
      <c r="R19" s="344" t="s">
        <v>214</v>
      </c>
      <c r="S19" s="344" t="s">
        <v>214</v>
      </c>
      <c r="T19" s="209">
        <f t="shared" si="1"/>
        <v>1</v>
      </c>
      <c r="U19" s="241">
        <f t="shared" si="2"/>
        <v>0</v>
      </c>
      <c r="V19" s="241">
        <f t="shared" si="3"/>
        <v>1</v>
      </c>
      <c r="W19" s="241">
        <f t="shared" si="0"/>
        <v>1</v>
      </c>
    </row>
    <row r="20" spans="1:23" s="287" customFormat="1" hidden="1" x14ac:dyDescent="0.2">
      <c r="A20" s="298"/>
      <c r="B20" s="298"/>
      <c r="C20" s="298"/>
      <c r="D20" s="298"/>
      <c r="E20" s="299"/>
      <c r="F20" s="300" t="s">
        <v>796</v>
      </c>
      <c r="G20" s="415"/>
      <c r="H20" s="416"/>
      <c r="I20" s="298"/>
      <c r="J20" s="298"/>
      <c r="K20" s="411"/>
      <c r="L20" s="298"/>
      <c r="M20" s="298"/>
      <c r="N20" s="303"/>
      <c r="O20" s="303"/>
      <c r="P20" s="303"/>
      <c r="Q20" s="304"/>
      <c r="R20" s="417"/>
      <c r="S20" s="417"/>
      <c r="T20" s="209">
        <f t="shared" si="1"/>
        <v>1</v>
      </c>
      <c r="U20" s="241">
        <f t="shared" si="2"/>
        <v>0</v>
      </c>
      <c r="V20" s="241">
        <f t="shared" si="3"/>
        <v>1</v>
      </c>
      <c r="W20" s="241"/>
    </row>
    <row r="21" spans="1:23" ht="62.65" hidden="1" x14ac:dyDescent="0.2">
      <c r="A21" s="210" t="s">
        <v>797</v>
      </c>
      <c r="B21" s="210" t="s">
        <v>208</v>
      </c>
      <c r="C21" s="210" t="s">
        <v>208</v>
      </c>
      <c r="D21" s="210" t="s">
        <v>208</v>
      </c>
      <c r="E21" s="217"/>
      <c r="F21" s="335">
        <v>8.3000000000000007</v>
      </c>
      <c r="G21" s="307">
        <v>1</v>
      </c>
      <c r="H21" s="306" t="s">
        <v>798</v>
      </c>
      <c r="I21" s="413" t="s">
        <v>799</v>
      </c>
      <c r="J21" s="264" t="s">
        <v>183</v>
      </c>
      <c r="K21" s="216" t="s">
        <v>800</v>
      </c>
      <c r="L21" s="274"/>
      <c r="M21" s="216" t="str">
        <f>IFERROR(IF(N21="Maturity",HLOOKUP(L21,$O$2:$S$201,ROW()-1,0),"N/A"),"")</f>
        <v>N/A</v>
      </c>
      <c r="N21" s="210" t="s">
        <v>213</v>
      </c>
      <c r="O21" s="400" t="s">
        <v>214</v>
      </c>
      <c r="P21" s="400" t="s">
        <v>214</v>
      </c>
      <c r="Q21" s="400" t="s">
        <v>214</v>
      </c>
      <c r="R21" s="400" t="s">
        <v>214</v>
      </c>
      <c r="S21" s="400" t="s">
        <v>214</v>
      </c>
      <c r="T21" s="209">
        <f t="shared" si="1"/>
        <v>1</v>
      </c>
      <c r="U21" s="241">
        <f t="shared" si="2"/>
        <v>0</v>
      </c>
      <c r="V21" s="241">
        <f t="shared" si="3"/>
        <v>1</v>
      </c>
      <c r="W21" s="241">
        <f t="shared" si="0"/>
        <v>1</v>
      </c>
    </row>
    <row r="22" spans="1:23" ht="50.1" hidden="1" x14ac:dyDescent="0.2">
      <c r="A22" s="210" t="s">
        <v>801</v>
      </c>
      <c r="B22" s="210" t="s">
        <v>208</v>
      </c>
      <c r="C22" s="210" t="s">
        <v>208</v>
      </c>
      <c r="D22" s="210" t="s">
        <v>208</v>
      </c>
      <c r="E22" s="217"/>
      <c r="F22" s="335">
        <v>8.3000000000000007</v>
      </c>
      <c r="G22" s="307">
        <v>2</v>
      </c>
      <c r="H22" s="306" t="s">
        <v>802</v>
      </c>
      <c r="I22" s="413" t="s">
        <v>803</v>
      </c>
      <c r="J22" s="264" t="s">
        <v>183</v>
      </c>
      <c r="K22" s="216" t="s">
        <v>804</v>
      </c>
      <c r="L22" s="274"/>
      <c r="M22" s="216" t="str">
        <f>IFERROR(IF(N22="Maturity",HLOOKUP(L22,$O$2:$S$201,ROW()-1,0),"N/A"),"")</f>
        <v>N/A</v>
      </c>
      <c r="N22" s="210" t="s">
        <v>213</v>
      </c>
      <c r="O22" s="400" t="s">
        <v>214</v>
      </c>
      <c r="P22" s="400" t="s">
        <v>214</v>
      </c>
      <c r="Q22" s="400" t="s">
        <v>214</v>
      </c>
      <c r="R22" s="400" t="s">
        <v>214</v>
      </c>
      <c r="S22" s="400" t="s">
        <v>214</v>
      </c>
      <c r="T22" s="209">
        <f t="shared" si="1"/>
        <v>1</v>
      </c>
      <c r="U22" s="241">
        <f t="shared" si="2"/>
        <v>0</v>
      </c>
      <c r="V22" s="241">
        <f t="shared" si="3"/>
        <v>1</v>
      </c>
      <c r="W22" s="241">
        <f t="shared" si="0"/>
        <v>1</v>
      </c>
    </row>
    <row r="23" spans="1:23" ht="62.65" hidden="1" x14ac:dyDescent="0.2">
      <c r="A23" s="210" t="s">
        <v>805</v>
      </c>
      <c r="B23" s="210" t="s">
        <v>208</v>
      </c>
      <c r="C23" s="210" t="s">
        <v>208</v>
      </c>
      <c r="D23" s="210" t="s">
        <v>208</v>
      </c>
      <c r="E23" s="217"/>
      <c r="F23" s="335">
        <v>8.3000000000000007</v>
      </c>
      <c r="G23" s="307">
        <v>3</v>
      </c>
      <c r="H23" s="306" t="s">
        <v>806</v>
      </c>
      <c r="I23" s="413" t="s">
        <v>807</v>
      </c>
      <c r="J23" s="264" t="s">
        <v>183</v>
      </c>
      <c r="K23" s="216" t="s">
        <v>808</v>
      </c>
      <c r="L23" s="274"/>
      <c r="M23" s="216" t="str">
        <f>IFERROR(IF(N23="Maturity",HLOOKUP(L23,$O$2:$S$201,ROW()-1,0),"N/A"),"")</f>
        <v>N/A</v>
      </c>
      <c r="N23" s="210" t="s">
        <v>213</v>
      </c>
      <c r="O23" s="400" t="s">
        <v>214</v>
      </c>
      <c r="P23" s="400" t="s">
        <v>214</v>
      </c>
      <c r="Q23" s="400" t="s">
        <v>214</v>
      </c>
      <c r="R23" s="400" t="s">
        <v>214</v>
      </c>
      <c r="S23" s="400" t="s">
        <v>214</v>
      </c>
      <c r="T23" s="209">
        <f t="shared" si="1"/>
        <v>1</v>
      </c>
      <c r="U23" s="241">
        <f t="shared" si="2"/>
        <v>0</v>
      </c>
      <c r="V23" s="241">
        <f t="shared" si="3"/>
        <v>1</v>
      </c>
      <c r="W23" s="241">
        <f t="shared" si="0"/>
        <v>1</v>
      </c>
    </row>
    <row r="24" spans="1:23" ht="62.65" hidden="1" x14ac:dyDescent="0.2">
      <c r="A24" s="210" t="s">
        <v>809</v>
      </c>
      <c r="B24" s="210" t="s">
        <v>208</v>
      </c>
      <c r="C24" s="210" t="s">
        <v>208</v>
      </c>
      <c r="D24" s="210" t="s">
        <v>208</v>
      </c>
      <c r="E24" s="217"/>
      <c r="F24" s="335">
        <v>8.3000000000000007</v>
      </c>
      <c r="G24" s="307">
        <v>4</v>
      </c>
      <c r="H24" s="306" t="s">
        <v>810</v>
      </c>
      <c r="I24" s="413" t="s">
        <v>811</v>
      </c>
      <c r="J24" s="210" t="s">
        <v>183</v>
      </c>
      <c r="K24" s="221" t="s">
        <v>812</v>
      </c>
      <c r="L24" s="274"/>
      <c r="M24" s="216" t="str">
        <f>IFERROR(IF(N24="Maturity",HLOOKUP(L24,$O$2:$S$201,ROW()-1,0),"N/A"),"")</f>
        <v>N/A</v>
      </c>
      <c r="N24" s="210" t="s">
        <v>213</v>
      </c>
      <c r="O24" s="344" t="s">
        <v>214</v>
      </c>
      <c r="P24" s="344" t="s">
        <v>214</v>
      </c>
      <c r="Q24" s="344" t="s">
        <v>214</v>
      </c>
      <c r="R24" s="344" t="s">
        <v>214</v>
      </c>
      <c r="S24" s="344" t="s">
        <v>214</v>
      </c>
      <c r="T24" s="209">
        <f t="shared" si="1"/>
        <v>1</v>
      </c>
      <c r="U24" s="241">
        <f t="shared" si="2"/>
        <v>0</v>
      </c>
      <c r="V24" s="241">
        <f t="shared" si="3"/>
        <v>1</v>
      </c>
      <c r="W24" s="241">
        <f t="shared" si="0"/>
        <v>1</v>
      </c>
    </row>
    <row r="25" spans="1:23" s="287" customFormat="1" hidden="1" x14ac:dyDescent="0.2">
      <c r="A25" s="298"/>
      <c r="B25" s="298"/>
      <c r="C25" s="298"/>
      <c r="D25" s="298"/>
      <c r="E25" s="299"/>
      <c r="F25" s="300" t="s">
        <v>813</v>
      </c>
      <c r="G25" s="415"/>
      <c r="H25" s="416"/>
      <c r="I25" s="298"/>
      <c r="J25" s="298"/>
      <c r="K25" s="411"/>
      <c r="L25" s="298"/>
      <c r="M25" s="298"/>
      <c r="N25" s="303"/>
      <c r="O25" s="303"/>
      <c r="P25" s="303"/>
      <c r="Q25" s="304"/>
      <c r="R25" s="417"/>
      <c r="S25" s="417"/>
      <c r="T25" s="209">
        <f t="shared" si="1"/>
        <v>1</v>
      </c>
      <c r="U25" s="241">
        <f t="shared" si="2"/>
        <v>0</v>
      </c>
      <c r="V25" s="241">
        <f t="shared" si="3"/>
        <v>1</v>
      </c>
      <c r="W25" s="241"/>
    </row>
    <row r="26" spans="1:23" ht="137.75" x14ac:dyDescent="0.2">
      <c r="A26" s="210" t="s">
        <v>814</v>
      </c>
      <c r="B26" s="210" t="s">
        <v>208</v>
      </c>
      <c r="C26" s="210" t="s">
        <v>208</v>
      </c>
      <c r="D26" s="210" t="s">
        <v>208</v>
      </c>
      <c r="E26" s="217" t="s">
        <v>208</v>
      </c>
      <c r="F26" s="335">
        <v>8.4</v>
      </c>
      <c r="G26" s="307" t="s">
        <v>474</v>
      </c>
      <c r="H26" s="306" t="s">
        <v>815</v>
      </c>
      <c r="I26" s="413" t="s">
        <v>816</v>
      </c>
      <c r="J26" s="264" t="s">
        <v>183</v>
      </c>
      <c r="K26" s="216" t="s">
        <v>817</v>
      </c>
      <c r="L26" s="274"/>
      <c r="M26" s="216" t="str">
        <f t="shared" ref="M26:M33" si="5">IFERROR(IF(N26="Maturity",HLOOKUP(L26,$O$2:$S$201,ROW()-1,0),"N/A"),"")</f>
        <v/>
      </c>
      <c r="N26" s="215" t="s">
        <v>219</v>
      </c>
      <c r="O26" s="216" t="s">
        <v>818</v>
      </c>
      <c r="P26" s="216" t="s">
        <v>819</v>
      </c>
      <c r="Q26" s="216" t="s">
        <v>820</v>
      </c>
      <c r="R26" s="216" t="s">
        <v>821</v>
      </c>
      <c r="S26" s="216" t="s">
        <v>822</v>
      </c>
      <c r="T26" s="209">
        <f t="shared" si="1"/>
        <v>1</v>
      </c>
      <c r="U26" s="241">
        <f t="shared" si="2"/>
        <v>0</v>
      </c>
      <c r="V26" s="241">
        <f t="shared" si="3"/>
        <v>1</v>
      </c>
      <c r="W26" s="241">
        <f t="shared" si="0"/>
        <v>1</v>
      </c>
    </row>
    <row r="27" spans="1:23" ht="125.25" x14ac:dyDescent="0.2">
      <c r="A27" s="210" t="s">
        <v>823</v>
      </c>
      <c r="B27" s="210" t="s">
        <v>208</v>
      </c>
      <c r="C27" s="210" t="s">
        <v>208</v>
      </c>
      <c r="D27" s="210" t="s">
        <v>208</v>
      </c>
      <c r="E27" s="217" t="s">
        <v>208</v>
      </c>
      <c r="F27" s="335">
        <v>8.4</v>
      </c>
      <c r="G27" s="307" t="s">
        <v>479</v>
      </c>
      <c r="H27" s="306" t="s">
        <v>824</v>
      </c>
      <c r="I27" s="413" t="s">
        <v>825</v>
      </c>
      <c r="J27" s="264" t="s">
        <v>183</v>
      </c>
      <c r="K27" s="216" t="s">
        <v>826</v>
      </c>
      <c r="L27" s="274"/>
      <c r="M27" s="216" t="str">
        <f t="shared" si="5"/>
        <v>N/A</v>
      </c>
      <c r="N27" s="215" t="s">
        <v>213</v>
      </c>
      <c r="O27" s="400" t="s">
        <v>214</v>
      </c>
      <c r="P27" s="400" t="s">
        <v>214</v>
      </c>
      <c r="Q27" s="400" t="s">
        <v>214</v>
      </c>
      <c r="R27" s="400" t="s">
        <v>214</v>
      </c>
      <c r="S27" s="400" t="s">
        <v>214</v>
      </c>
      <c r="T27" s="209">
        <f t="shared" si="1"/>
        <v>1</v>
      </c>
      <c r="U27" s="241">
        <f t="shared" si="2"/>
        <v>0</v>
      </c>
      <c r="V27" s="241">
        <f t="shared" si="3"/>
        <v>1</v>
      </c>
      <c r="W27" s="241">
        <f t="shared" si="0"/>
        <v>1</v>
      </c>
    </row>
    <row r="28" spans="1:23" ht="50.1" x14ac:dyDescent="0.2">
      <c r="A28" s="210" t="s">
        <v>827</v>
      </c>
      <c r="B28" s="210" t="s">
        <v>208</v>
      </c>
      <c r="C28" s="210" t="s">
        <v>208</v>
      </c>
      <c r="D28" s="210" t="s">
        <v>208</v>
      </c>
      <c r="E28" s="217" t="s">
        <v>208</v>
      </c>
      <c r="F28" s="335">
        <v>8.4</v>
      </c>
      <c r="G28" s="307" t="s">
        <v>484</v>
      </c>
      <c r="H28" s="306" t="s">
        <v>828</v>
      </c>
      <c r="I28" s="413" t="s">
        <v>829</v>
      </c>
      <c r="J28" s="264" t="s">
        <v>183</v>
      </c>
      <c r="K28" s="418" t="s">
        <v>830</v>
      </c>
      <c r="L28" s="274"/>
      <c r="M28" s="216" t="str">
        <f t="shared" si="5"/>
        <v>N/A</v>
      </c>
      <c r="N28" s="210" t="s">
        <v>213</v>
      </c>
      <c r="O28" s="400" t="s">
        <v>214</v>
      </c>
      <c r="P28" s="400" t="s">
        <v>214</v>
      </c>
      <c r="Q28" s="400" t="s">
        <v>214</v>
      </c>
      <c r="R28" s="400" t="s">
        <v>214</v>
      </c>
      <c r="S28" s="400" t="s">
        <v>214</v>
      </c>
      <c r="T28" s="209">
        <f t="shared" si="1"/>
        <v>1</v>
      </c>
      <c r="U28" s="241">
        <f t="shared" si="2"/>
        <v>0</v>
      </c>
      <c r="V28" s="241">
        <f t="shared" si="3"/>
        <v>1</v>
      </c>
      <c r="W28" s="241">
        <f t="shared" si="0"/>
        <v>1</v>
      </c>
    </row>
    <row r="29" spans="1:23" ht="137.75" x14ac:dyDescent="0.2">
      <c r="A29" s="210" t="s">
        <v>831</v>
      </c>
      <c r="B29" s="210" t="s">
        <v>208</v>
      </c>
      <c r="C29" s="210" t="s">
        <v>208</v>
      </c>
      <c r="D29" s="210" t="s">
        <v>208</v>
      </c>
      <c r="E29" s="217" t="s">
        <v>208</v>
      </c>
      <c r="F29" s="335">
        <v>8.4</v>
      </c>
      <c r="G29" s="307">
        <v>2</v>
      </c>
      <c r="H29" s="306" t="s">
        <v>832</v>
      </c>
      <c r="I29" s="413" t="s">
        <v>833</v>
      </c>
      <c r="J29" s="210" t="s">
        <v>183</v>
      </c>
      <c r="K29" s="216" t="s">
        <v>834</v>
      </c>
      <c r="L29" s="274"/>
      <c r="M29" s="216" t="str">
        <f t="shared" si="5"/>
        <v>N/A</v>
      </c>
      <c r="N29" s="210" t="s">
        <v>213</v>
      </c>
      <c r="O29" s="344" t="s">
        <v>214</v>
      </c>
      <c r="P29" s="344" t="s">
        <v>214</v>
      </c>
      <c r="Q29" s="344" t="s">
        <v>214</v>
      </c>
      <c r="R29" s="344" t="s">
        <v>214</v>
      </c>
      <c r="S29" s="344" t="s">
        <v>214</v>
      </c>
      <c r="T29" s="209">
        <f t="shared" si="1"/>
        <v>1</v>
      </c>
      <c r="U29" s="241">
        <f t="shared" si="2"/>
        <v>0</v>
      </c>
      <c r="V29" s="241">
        <f t="shared" si="3"/>
        <v>1</v>
      </c>
      <c r="W29" s="241">
        <f t="shared" si="0"/>
        <v>1</v>
      </c>
    </row>
    <row r="30" spans="1:23" ht="100.2" x14ac:dyDescent="0.2">
      <c r="A30" s="210" t="s">
        <v>835</v>
      </c>
      <c r="B30" s="210" t="s">
        <v>208</v>
      </c>
      <c r="C30" s="210" t="s">
        <v>208</v>
      </c>
      <c r="D30" s="210" t="s">
        <v>208</v>
      </c>
      <c r="E30" s="217" t="s">
        <v>208</v>
      </c>
      <c r="F30" s="335">
        <v>8.4</v>
      </c>
      <c r="G30" s="307">
        <v>3</v>
      </c>
      <c r="H30" s="306" t="s">
        <v>836</v>
      </c>
      <c r="I30" s="413" t="s">
        <v>837</v>
      </c>
      <c r="J30" s="264" t="s">
        <v>183</v>
      </c>
      <c r="K30" s="344" t="s">
        <v>838</v>
      </c>
      <c r="L30" s="274"/>
      <c r="M30" s="216" t="str">
        <f t="shared" si="5"/>
        <v>N/A</v>
      </c>
      <c r="N30" s="210" t="s">
        <v>213</v>
      </c>
      <c r="O30" s="400" t="s">
        <v>214</v>
      </c>
      <c r="P30" s="400" t="s">
        <v>214</v>
      </c>
      <c r="Q30" s="400" t="s">
        <v>214</v>
      </c>
      <c r="R30" s="400" t="s">
        <v>214</v>
      </c>
      <c r="S30" s="400" t="s">
        <v>214</v>
      </c>
      <c r="T30" s="209">
        <f t="shared" si="1"/>
        <v>1</v>
      </c>
      <c r="U30" s="241">
        <f t="shared" si="2"/>
        <v>0</v>
      </c>
      <c r="V30" s="241">
        <f t="shared" si="3"/>
        <v>1</v>
      </c>
      <c r="W30" s="241">
        <f t="shared" si="0"/>
        <v>1</v>
      </c>
    </row>
    <row r="31" spans="1:23" ht="62.65" hidden="1" x14ac:dyDescent="0.2">
      <c r="A31" s="210" t="s">
        <v>839</v>
      </c>
      <c r="B31" s="210" t="s">
        <v>208</v>
      </c>
      <c r="C31" s="344"/>
      <c r="D31" s="344"/>
      <c r="E31" s="217"/>
      <c r="F31" s="335">
        <v>8.4</v>
      </c>
      <c r="G31" s="307">
        <v>4</v>
      </c>
      <c r="H31" s="306" t="s">
        <v>840</v>
      </c>
      <c r="I31" s="413" t="s">
        <v>841</v>
      </c>
      <c r="J31" s="264" t="s">
        <v>183</v>
      </c>
      <c r="K31" s="344" t="s">
        <v>842</v>
      </c>
      <c r="L31" s="274"/>
      <c r="M31" s="216" t="str">
        <f t="shared" si="5"/>
        <v>N/A</v>
      </c>
      <c r="N31" s="210" t="s">
        <v>213</v>
      </c>
      <c r="O31" s="344" t="s">
        <v>214</v>
      </c>
      <c r="P31" s="344" t="s">
        <v>214</v>
      </c>
      <c r="Q31" s="344" t="s">
        <v>214</v>
      </c>
      <c r="R31" s="344" t="s">
        <v>214</v>
      </c>
      <c r="S31" s="344" t="s">
        <v>214</v>
      </c>
      <c r="T31" s="209">
        <f t="shared" si="1"/>
        <v>1</v>
      </c>
      <c r="U31" s="241">
        <f t="shared" si="2"/>
        <v>0</v>
      </c>
      <c r="V31" s="241">
        <f t="shared" si="3"/>
        <v>1</v>
      </c>
      <c r="W31" s="241">
        <f t="shared" si="0"/>
        <v>1</v>
      </c>
    </row>
    <row r="32" spans="1:23" ht="62.65" hidden="1" x14ac:dyDescent="0.2">
      <c r="A32" s="210" t="s">
        <v>843</v>
      </c>
      <c r="B32" s="210" t="s">
        <v>208</v>
      </c>
      <c r="C32" s="344"/>
      <c r="D32" s="344"/>
      <c r="E32" s="217"/>
      <c r="F32" s="335">
        <v>8.4</v>
      </c>
      <c r="G32" s="307">
        <v>5</v>
      </c>
      <c r="H32" s="306" t="s">
        <v>844</v>
      </c>
      <c r="I32" s="413" t="s">
        <v>845</v>
      </c>
      <c r="J32" s="264" t="s">
        <v>183</v>
      </c>
      <c r="K32" s="344" t="s">
        <v>846</v>
      </c>
      <c r="L32" s="274"/>
      <c r="M32" s="216" t="str">
        <f t="shared" si="5"/>
        <v>N/A</v>
      </c>
      <c r="N32" s="210" t="s">
        <v>213</v>
      </c>
      <c r="O32" s="344" t="s">
        <v>214</v>
      </c>
      <c r="P32" s="344" t="s">
        <v>214</v>
      </c>
      <c r="Q32" s="344" t="s">
        <v>214</v>
      </c>
      <c r="R32" s="344" t="s">
        <v>214</v>
      </c>
      <c r="S32" s="344" t="s">
        <v>214</v>
      </c>
      <c r="T32" s="209">
        <f t="shared" si="1"/>
        <v>1</v>
      </c>
      <c r="U32" s="241">
        <f t="shared" si="2"/>
        <v>0</v>
      </c>
      <c r="V32" s="241">
        <f t="shared" si="3"/>
        <v>1</v>
      </c>
      <c r="W32" s="241">
        <f t="shared" si="0"/>
        <v>1</v>
      </c>
    </row>
    <row r="33" spans="1:23" ht="75.150000000000006" hidden="1" x14ac:dyDescent="0.2">
      <c r="A33" s="210" t="s">
        <v>847</v>
      </c>
      <c r="B33" s="210" t="s">
        <v>208</v>
      </c>
      <c r="C33" s="344"/>
      <c r="D33" s="344"/>
      <c r="E33" s="217"/>
      <c r="F33" s="335">
        <v>8.4</v>
      </c>
      <c r="G33" s="307">
        <v>6</v>
      </c>
      <c r="H33" s="306" t="s">
        <v>848</v>
      </c>
      <c r="I33" s="413" t="s">
        <v>849</v>
      </c>
      <c r="J33" s="210" t="s">
        <v>183</v>
      </c>
      <c r="K33" s="344" t="s">
        <v>850</v>
      </c>
      <c r="L33" s="274"/>
      <c r="M33" s="216" t="str">
        <f t="shared" si="5"/>
        <v>N/A</v>
      </c>
      <c r="N33" s="210" t="s">
        <v>213</v>
      </c>
      <c r="O33" s="344" t="s">
        <v>214</v>
      </c>
      <c r="P33" s="344" t="s">
        <v>214</v>
      </c>
      <c r="Q33" s="344" t="s">
        <v>214</v>
      </c>
      <c r="R33" s="344" t="s">
        <v>214</v>
      </c>
      <c r="S33" s="344" t="s">
        <v>214</v>
      </c>
      <c r="T33" s="209">
        <f t="shared" si="1"/>
        <v>1</v>
      </c>
      <c r="U33" s="241">
        <f t="shared" si="2"/>
        <v>0</v>
      </c>
      <c r="V33" s="241">
        <f t="shared" si="3"/>
        <v>1</v>
      </c>
      <c r="W33" s="241">
        <f t="shared" si="0"/>
        <v>1</v>
      </c>
    </row>
    <row r="34" spans="1:23" s="287" customFormat="1" hidden="1" x14ac:dyDescent="0.2">
      <c r="A34" s="298"/>
      <c r="B34" s="298"/>
      <c r="C34" s="298"/>
      <c r="D34" s="298"/>
      <c r="E34" s="299"/>
      <c r="F34" s="300" t="s">
        <v>851</v>
      </c>
      <c r="G34" s="415"/>
      <c r="H34" s="416"/>
      <c r="I34" s="298"/>
      <c r="J34" s="298"/>
      <c r="K34" s="411"/>
      <c r="L34" s="298"/>
      <c r="M34" s="298"/>
      <c r="N34" s="303"/>
      <c r="O34" s="303"/>
      <c r="P34" s="303"/>
      <c r="Q34" s="304"/>
      <c r="R34" s="417"/>
      <c r="S34" s="417"/>
      <c r="T34" s="209">
        <f t="shared" si="1"/>
        <v>1</v>
      </c>
      <c r="U34" s="241">
        <f t="shared" si="2"/>
        <v>0</v>
      </c>
      <c r="V34" s="241">
        <f t="shared" si="3"/>
        <v>1</v>
      </c>
      <c r="W34" s="241"/>
    </row>
    <row r="35" spans="1:23" ht="37.6" hidden="1" x14ac:dyDescent="0.2">
      <c r="A35" s="210" t="s">
        <v>852</v>
      </c>
      <c r="B35" s="210" t="s">
        <v>208</v>
      </c>
      <c r="C35" s="210" t="s">
        <v>208</v>
      </c>
      <c r="D35" s="210" t="s">
        <v>208</v>
      </c>
      <c r="E35" s="217"/>
      <c r="F35" s="335">
        <v>8.5</v>
      </c>
      <c r="G35" s="307" t="s">
        <v>474</v>
      </c>
      <c r="H35" s="306" t="s">
        <v>853</v>
      </c>
      <c r="I35" s="364" t="s">
        <v>854</v>
      </c>
      <c r="J35" s="361" t="s">
        <v>183</v>
      </c>
      <c r="K35" s="240" t="s">
        <v>855</v>
      </c>
      <c r="L35" s="274"/>
      <c r="M35" s="240" t="str">
        <f t="shared" ref="M35:M49" si="6">IFERROR(IF(N35="Maturity",HLOOKUP(L35,$O$2:$S$201,ROW()-1,0),"N/A"),"")</f>
        <v>N/A</v>
      </c>
      <c r="N35" s="250" t="s">
        <v>213</v>
      </c>
      <c r="O35" s="362" t="s">
        <v>214</v>
      </c>
      <c r="P35" s="362" t="s">
        <v>214</v>
      </c>
      <c r="Q35" s="362" t="s">
        <v>214</v>
      </c>
      <c r="R35" s="362" t="s">
        <v>214</v>
      </c>
      <c r="S35" s="362" t="s">
        <v>214</v>
      </c>
      <c r="T35" s="209">
        <f t="shared" si="1"/>
        <v>1</v>
      </c>
      <c r="U35" s="241">
        <f t="shared" si="2"/>
        <v>0</v>
      </c>
      <c r="V35" s="241">
        <f t="shared" si="3"/>
        <v>1</v>
      </c>
      <c r="W35" s="241">
        <f t="shared" si="0"/>
        <v>1</v>
      </c>
    </row>
    <row r="36" spans="1:23" ht="62.65" hidden="1" x14ac:dyDescent="0.2">
      <c r="A36" s="210" t="s">
        <v>856</v>
      </c>
      <c r="B36" s="210" t="s">
        <v>208</v>
      </c>
      <c r="C36" s="210" t="s">
        <v>208</v>
      </c>
      <c r="D36" s="210" t="s">
        <v>208</v>
      </c>
      <c r="E36" s="217"/>
      <c r="F36" s="335">
        <v>8.5</v>
      </c>
      <c r="G36" s="307" t="s">
        <v>479</v>
      </c>
      <c r="H36" s="306" t="s">
        <v>857</v>
      </c>
      <c r="I36" s="366" t="s">
        <v>858</v>
      </c>
      <c r="J36" s="264" t="s">
        <v>183</v>
      </c>
      <c r="K36" s="216" t="s">
        <v>859</v>
      </c>
      <c r="L36" s="274"/>
      <c r="M36" s="240" t="str">
        <f t="shared" si="6"/>
        <v>N/A</v>
      </c>
      <c r="N36" s="215" t="s">
        <v>213</v>
      </c>
      <c r="O36" s="400" t="s">
        <v>214</v>
      </c>
      <c r="P36" s="400" t="s">
        <v>214</v>
      </c>
      <c r="Q36" s="400" t="s">
        <v>214</v>
      </c>
      <c r="R36" s="400" t="s">
        <v>214</v>
      </c>
      <c r="S36" s="400" t="s">
        <v>214</v>
      </c>
      <c r="T36" s="209">
        <f t="shared" si="1"/>
        <v>1</v>
      </c>
      <c r="U36" s="241">
        <f t="shared" si="2"/>
        <v>0</v>
      </c>
      <c r="V36" s="241">
        <f t="shared" si="3"/>
        <v>1</v>
      </c>
      <c r="W36" s="241">
        <f t="shared" si="0"/>
        <v>1</v>
      </c>
    </row>
    <row r="37" spans="1:23" ht="75.150000000000006" hidden="1" x14ac:dyDescent="0.2">
      <c r="A37" s="210" t="s">
        <v>860</v>
      </c>
      <c r="B37" s="210" t="s">
        <v>208</v>
      </c>
      <c r="C37" s="210" t="s">
        <v>208</v>
      </c>
      <c r="D37" s="210" t="s">
        <v>208</v>
      </c>
      <c r="E37" s="217"/>
      <c r="F37" s="335">
        <v>8.5</v>
      </c>
      <c r="G37" s="307" t="s">
        <v>484</v>
      </c>
      <c r="H37" s="306" t="s">
        <v>861</v>
      </c>
      <c r="I37" s="366" t="s">
        <v>862</v>
      </c>
      <c r="J37" s="264" t="s">
        <v>183</v>
      </c>
      <c r="K37" s="216" t="s">
        <v>863</v>
      </c>
      <c r="L37" s="274"/>
      <c r="M37" s="240" t="str">
        <f t="shared" si="6"/>
        <v>N/A</v>
      </c>
      <c r="N37" s="215" t="s">
        <v>213</v>
      </c>
      <c r="O37" s="400" t="s">
        <v>214</v>
      </c>
      <c r="P37" s="400" t="s">
        <v>214</v>
      </c>
      <c r="Q37" s="400" t="s">
        <v>214</v>
      </c>
      <c r="R37" s="400" t="s">
        <v>214</v>
      </c>
      <c r="S37" s="400" t="s">
        <v>214</v>
      </c>
      <c r="T37" s="209">
        <f t="shared" si="1"/>
        <v>1</v>
      </c>
      <c r="U37" s="241">
        <f t="shared" si="2"/>
        <v>0</v>
      </c>
      <c r="V37" s="241">
        <f t="shared" si="3"/>
        <v>1</v>
      </c>
      <c r="W37" s="241">
        <f t="shared" si="0"/>
        <v>1</v>
      </c>
    </row>
    <row r="38" spans="1:23" ht="62.65" hidden="1" x14ac:dyDescent="0.2">
      <c r="A38" s="210" t="s">
        <v>864</v>
      </c>
      <c r="B38" s="210" t="s">
        <v>208</v>
      </c>
      <c r="C38" s="210" t="s">
        <v>208</v>
      </c>
      <c r="D38" s="210" t="s">
        <v>208</v>
      </c>
      <c r="E38" s="217"/>
      <c r="F38" s="335">
        <v>8.5</v>
      </c>
      <c r="G38" s="307" t="s">
        <v>489</v>
      </c>
      <c r="H38" s="306" t="s">
        <v>865</v>
      </c>
      <c r="I38" s="366" t="s">
        <v>866</v>
      </c>
      <c r="J38" s="264" t="s">
        <v>183</v>
      </c>
      <c r="K38" s="344" t="s">
        <v>867</v>
      </c>
      <c r="L38" s="274"/>
      <c r="M38" s="240" t="str">
        <f t="shared" si="6"/>
        <v>N/A</v>
      </c>
      <c r="N38" s="210" t="s">
        <v>213</v>
      </c>
      <c r="O38" s="400" t="s">
        <v>214</v>
      </c>
      <c r="P38" s="400" t="s">
        <v>214</v>
      </c>
      <c r="Q38" s="400" t="s">
        <v>214</v>
      </c>
      <c r="R38" s="400" t="s">
        <v>214</v>
      </c>
      <c r="S38" s="400" t="s">
        <v>214</v>
      </c>
      <c r="T38" s="209">
        <f t="shared" si="1"/>
        <v>1</v>
      </c>
      <c r="U38" s="241">
        <f t="shared" si="2"/>
        <v>0</v>
      </c>
      <c r="V38" s="241">
        <f t="shared" si="3"/>
        <v>1</v>
      </c>
      <c r="W38" s="241">
        <f t="shared" si="0"/>
        <v>1</v>
      </c>
    </row>
    <row r="39" spans="1:23" ht="62.65" hidden="1" x14ac:dyDescent="0.2">
      <c r="A39" s="210" t="s">
        <v>868</v>
      </c>
      <c r="B39" s="210" t="s">
        <v>208</v>
      </c>
      <c r="C39" s="210" t="s">
        <v>208</v>
      </c>
      <c r="D39" s="210" t="s">
        <v>208</v>
      </c>
      <c r="E39" s="217"/>
      <c r="F39" s="335">
        <v>8.5</v>
      </c>
      <c r="G39" s="307" t="s">
        <v>494</v>
      </c>
      <c r="H39" s="306" t="s">
        <v>869</v>
      </c>
      <c r="I39" s="413" t="s">
        <v>870</v>
      </c>
      <c r="J39" s="210" t="s">
        <v>183</v>
      </c>
      <c r="K39" s="344" t="s">
        <v>871</v>
      </c>
      <c r="L39" s="274"/>
      <c r="M39" s="240" t="str">
        <f t="shared" si="6"/>
        <v>N/A</v>
      </c>
      <c r="N39" s="210" t="s">
        <v>213</v>
      </c>
      <c r="O39" s="344" t="s">
        <v>214</v>
      </c>
      <c r="P39" s="344" t="s">
        <v>214</v>
      </c>
      <c r="Q39" s="344" t="s">
        <v>214</v>
      </c>
      <c r="R39" s="344" t="s">
        <v>214</v>
      </c>
      <c r="S39" s="344" t="s">
        <v>214</v>
      </c>
      <c r="T39" s="209">
        <f t="shared" si="1"/>
        <v>1</v>
      </c>
      <c r="U39" s="241">
        <f t="shared" si="2"/>
        <v>0</v>
      </c>
      <c r="V39" s="241">
        <f t="shared" si="3"/>
        <v>1</v>
      </c>
      <c r="W39" s="241">
        <f t="shared" si="0"/>
        <v>1</v>
      </c>
    </row>
    <row r="40" spans="1:23" ht="130.69999999999999" hidden="1" customHeight="1" x14ac:dyDescent="0.2">
      <c r="A40" s="210" t="s">
        <v>872</v>
      </c>
      <c r="B40" s="210" t="s">
        <v>208</v>
      </c>
      <c r="C40" s="210" t="s">
        <v>208</v>
      </c>
      <c r="D40" s="210" t="s">
        <v>208</v>
      </c>
      <c r="E40" s="217"/>
      <c r="F40" s="335">
        <v>8.5</v>
      </c>
      <c r="G40" s="307" t="s">
        <v>499</v>
      </c>
      <c r="H40" s="306" t="s">
        <v>873</v>
      </c>
      <c r="I40" s="413" t="s">
        <v>874</v>
      </c>
      <c r="J40" s="210" t="s">
        <v>183</v>
      </c>
      <c r="K40" s="344" t="s">
        <v>875</v>
      </c>
      <c r="L40" s="274"/>
      <c r="M40" s="240" t="str">
        <f t="shared" si="6"/>
        <v>N/A</v>
      </c>
      <c r="N40" s="210" t="s">
        <v>213</v>
      </c>
      <c r="O40" s="344" t="s">
        <v>214</v>
      </c>
      <c r="P40" s="344" t="s">
        <v>214</v>
      </c>
      <c r="Q40" s="344" t="s">
        <v>214</v>
      </c>
      <c r="R40" s="344" t="s">
        <v>214</v>
      </c>
      <c r="S40" s="344" t="s">
        <v>214</v>
      </c>
      <c r="T40" s="209">
        <f t="shared" si="1"/>
        <v>1</v>
      </c>
      <c r="U40" s="241">
        <f t="shared" si="2"/>
        <v>0</v>
      </c>
      <c r="V40" s="241">
        <f t="shared" si="3"/>
        <v>1</v>
      </c>
      <c r="W40" s="241">
        <f t="shared" si="0"/>
        <v>1</v>
      </c>
    </row>
    <row r="41" spans="1:23" ht="137.75" hidden="1" x14ac:dyDescent="0.2">
      <c r="A41" s="210" t="s">
        <v>876</v>
      </c>
      <c r="B41" s="210" t="s">
        <v>208</v>
      </c>
      <c r="C41" s="210" t="s">
        <v>208</v>
      </c>
      <c r="D41" s="210" t="s">
        <v>208</v>
      </c>
      <c r="E41" s="217"/>
      <c r="F41" s="335">
        <v>8.5</v>
      </c>
      <c r="G41" s="307" t="s">
        <v>877</v>
      </c>
      <c r="H41" s="306" t="s">
        <v>878</v>
      </c>
      <c r="I41" s="413" t="s">
        <v>879</v>
      </c>
      <c r="J41" s="264" t="s">
        <v>183</v>
      </c>
      <c r="K41" s="234" t="s">
        <v>880</v>
      </c>
      <c r="L41" s="274"/>
      <c r="M41" s="240" t="str">
        <f t="shared" si="6"/>
        <v>N/A</v>
      </c>
      <c r="N41" s="210" t="s">
        <v>213</v>
      </c>
      <c r="O41" s="400" t="s">
        <v>214</v>
      </c>
      <c r="P41" s="400" t="s">
        <v>214</v>
      </c>
      <c r="Q41" s="400" t="s">
        <v>214</v>
      </c>
      <c r="R41" s="400" t="s">
        <v>214</v>
      </c>
      <c r="S41" s="400" t="s">
        <v>214</v>
      </c>
      <c r="T41" s="209">
        <f t="shared" si="1"/>
        <v>1</v>
      </c>
      <c r="U41" s="241">
        <f t="shared" si="2"/>
        <v>0</v>
      </c>
      <c r="V41" s="241">
        <f t="shared" si="3"/>
        <v>1</v>
      </c>
      <c r="W41" s="241">
        <f t="shared" si="0"/>
        <v>1</v>
      </c>
    </row>
    <row r="42" spans="1:23" ht="87.65" hidden="1" x14ac:dyDescent="0.2">
      <c r="A42" s="210" t="s">
        <v>881</v>
      </c>
      <c r="B42" s="210" t="s">
        <v>208</v>
      </c>
      <c r="C42" s="210" t="s">
        <v>208</v>
      </c>
      <c r="D42" s="210" t="s">
        <v>208</v>
      </c>
      <c r="E42" s="217"/>
      <c r="F42" s="335">
        <v>8.5</v>
      </c>
      <c r="G42" s="307" t="s">
        <v>882</v>
      </c>
      <c r="H42" s="306" t="s">
        <v>883</v>
      </c>
      <c r="I42" s="413" t="s">
        <v>884</v>
      </c>
      <c r="J42" s="210" t="s">
        <v>183</v>
      </c>
      <c r="K42" s="344" t="s">
        <v>885</v>
      </c>
      <c r="L42" s="274"/>
      <c r="M42" s="240" t="str">
        <f t="shared" si="6"/>
        <v>N/A</v>
      </c>
      <c r="N42" s="210" t="s">
        <v>213</v>
      </c>
      <c r="O42" s="344" t="s">
        <v>214</v>
      </c>
      <c r="P42" s="344" t="s">
        <v>214</v>
      </c>
      <c r="Q42" s="344" t="s">
        <v>214</v>
      </c>
      <c r="R42" s="344" t="s">
        <v>214</v>
      </c>
      <c r="S42" s="344" t="s">
        <v>214</v>
      </c>
      <c r="T42" s="209">
        <f t="shared" si="1"/>
        <v>1</v>
      </c>
      <c r="U42" s="241">
        <f t="shared" si="2"/>
        <v>0</v>
      </c>
      <c r="V42" s="241">
        <f t="shared" si="3"/>
        <v>1</v>
      </c>
      <c r="W42" s="241">
        <f t="shared" si="0"/>
        <v>1</v>
      </c>
    </row>
    <row r="43" spans="1:23" ht="112.7" hidden="1" x14ac:dyDescent="0.2">
      <c r="A43" s="210" t="s">
        <v>886</v>
      </c>
      <c r="B43" s="210" t="s">
        <v>208</v>
      </c>
      <c r="C43" s="344"/>
      <c r="D43" s="344"/>
      <c r="E43" s="217"/>
      <c r="F43" s="335">
        <v>8.5</v>
      </c>
      <c r="G43" s="307" t="s">
        <v>887</v>
      </c>
      <c r="H43" s="306" t="s">
        <v>888</v>
      </c>
      <c r="I43" s="413" t="s">
        <v>889</v>
      </c>
      <c r="J43" s="264" t="s">
        <v>183</v>
      </c>
      <c r="K43" s="344" t="s">
        <v>890</v>
      </c>
      <c r="L43" s="274"/>
      <c r="M43" s="240" t="str">
        <f t="shared" si="6"/>
        <v>N/A</v>
      </c>
      <c r="N43" s="210" t="s">
        <v>213</v>
      </c>
      <c r="O43" s="344" t="s">
        <v>214</v>
      </c>
      <c r="P43" s="344" t="s">
        <v>214</v>
      </c>
      <c r="Q43" s="344" t="s">
        <v>214</v>
      </c>
      <c r="R43" s="344" t="s">
        <v>214</v>
      </c>
      <c r="S43" s="344" t="s">
        <v>214</v>
      </c>
      <c r="T43" s="209">
        <f t="shared" si="1"/>
        <v>1</v>
      </c>
      <c r="U43" s="241">
        <f t="shared" si="2"/>
        <v>0</v>
      </c>
      <c r="V43" s="241">
        <f t="shared" si="3"/>
        <v>1</v>
      </c>
      <c r="W43" s="241">
        <f t="shared" si="0"/>
        <v>1</v>
      </c>
    </row>
    <row r="44" spans="1:23" ht="50.1" x14ac:dyDescent="0.2">
      <c r="A44" s="210" t="s">
        <v>891</v>
      </c>
      <c r="B44" s="210" t="s">
        <v>208</v>
      </c>
      <c r="C44" s="210" t="s">
        <v>208</v>
      </c>
      <c r="D44" s="210" t="s">
        <v>208</v>
      </c>
      <c r="E44" s="217" t="s">
        <v>208</v>
      </c>
      <c r="F44" s="335">
        <v>8.5</v>
      </c>
      <c r="G44" s="307" t="s">
        <v>892</v>
      </c>
      <c r="H44" s="306" t="s">
        <v>893</v>
      </c>
      <c r="I44" s="413" t="s">
        <v>894</v>
      </c>
      <c r="J44" s="210" t="s">
        <v>183</v>
      </c>
      <c r="K44" s="344" t="s">
        <v>895</v>
      </c>
      <c r="L44" s="274"/>
      <c r="M44" s="240" t="str">
        <f t="shared" si="6"/>
        <v>N/A</v>
      </c>
      <c r="N44" s="210" t="s">
        <v>213</v>
      </c>
      <c r="O44" s="344" t="s">
        <v>214</v>
      </c>
      <c r="P44" s="344" t="s">
        <v>214</v>
      </c>
      <c r="Q44" s="344" t="s">
        <v>214</v>
      </c>
      <c r="R44" s="344" t="s">
        <v>214</v>
      </c>
      <c r="S44" s="344" t="s">
        <v>214</v>
      </c>
      <c r="T44" s="209">
        <f t="shared" si="1"/>
        <v>1</v>
      </c>
      <c r="U44" s="241">
        <f t="shared" si="2"/>
        <v>0</v>
      </c>
      <c r="V44" s="241">
        <f t="shared" si="3"/>
        <v>1</v>
      </c>
      <c r="W44" s="241">
        <f t="shared" si="0"/>
        <v>1</v>
      </c>
    </row>
    <row r="45" spans="1:23" ht="37.6" x14ac:dyDescent="0.2">
      <c r="A45" s="210" t="s">
        <v>896</v>
      </c>
      <c r="B45" s="210" t="s">
        <v>208</v>
      </c>
      <c r="C45" s="210" t="s">
        <v>208</v>
      </c>
      <c r="D45" s="210" t="s">
        <v>208</v>
      </c>
      <c r="E45" s="217" t="s">
        <v>208</v>
      </c>
      <c r="F45" s="335">
        <v>8.5</v>
      </c>
      <c r="G45" s="307" t="s">
        <v>897</v>
      </c>
      <c r="H45" s="306" t="s">
        <v>898</v>
      </c>
      <c r="I45" s="419" t="s">
        <v>899</v>
      </c>
      <c r="J45" s="264" t="s">
        <v>183</v>
      </c>
      <c r="K45" s="344" t="s">
        <v>900</v>
      </c>
      <c r="L45" s="274"/>
      <c r="M45" s="240" t="str">
        <f t="shared" si="6"/>
        <v>N/A</v>
      </c>
      <c r="N45" s="210" t="s">
        <v>213</v>
      </c>
      <c r="O45" s="344" t="s">
        <v>214</v>
      </c>
      <c r="P45" s="344" t="s">
        <v>214</v>
      </c>
      <c r="Q45" s="344" t="s">
        <v>214</v>
      </c>
      <c r="R45" s="344" t="s">
        <v>214</v>
      </c>
      <c r="S45" s="344" t="s">
        <v>214</v>
      </c>
      <c r="T45" s="209">
        <f t="shared" si="1"/>
        <v>1</v>
      </c>
      <c r="U45" s="241">
        <f t="shared" si="2"/>
        <v>0</v>
      </c>
      <c r="V45" s="241">
        <f t="shared" si="3"/>
        <v>1</v>
      </c>
      <c r="W45" s="241">
        <f t="shared" si="0"/>
        <v>1</v>
      </c>
    </row>
    <row r="46" spans="1:23" ht="25.05" x14ac:dyDescent="0.2">
      <c r="A46" s="210" t="s">
        <v>901</v>
      </c>
      <c r="B46" s="210" t="s">
        <v>208</v>
      </c>
      <c r="C46" s="210" t="s">
        <v>208</v>
      </c>
      <c r="D46" s="210" t="s">
        <v>208</v>
      </c>
      <c r="E46" s="217" t="s">
        <v>208</v>
      </c>
      <c r="F46" s="335">
        <v>8.5</v>
      </c>
      <c r="G46" s="307" t="s">
        <v>902</v>
      </c>
      <c r="H46" s="306" t="s">
        <v>903</v>
      </c>
      <c r="I46" s="419" t="s">
        <v>904</v>
      </c>
      <c r="J46" s="264" t="s">
        <v>183</v>
      </c>
      <c r="K46" s="344" t="s">
        <v>905</v>
      </c>
      <c r="L46" s="274"/>
      <c r="M46" s="240" t="str">
        <f t="shared" si="6"/>
        <v>N/A</v>
      </c>
      <c r="N46" s="210" t="s">
        <v>213</v>
      </c>
      <c r="O46" s="344" t="s">
        <v>214</v>
      </c>
      <c r="P46" s="344" t="s">
        <v>214</v>
      </c>
      <c r="Q46" s="344" t="s">
        <v>214</v>
      </c>
      <c r="R46" s="344" t="s">
        <v>214</v>
      </c>
      <c r="S46" s="344" t="s">
        <v>214</v>
      </c>
      <c r="T46" s="209">
        <f t="shared" si="1"/>
        <v>1</v>
      </c>
      <c r="U46" s="241">
        <f t="shared" si="2"/>
        <v>0</v>
      </c>
      <c r="V46" s="241">
        <f t="shared" si="3"/>
        <v>1</v>
      </c>
      <c r="W46" s="241">
        <f t="shared" si="0"/>
        <v>1</v>
      </c>
    </row>
    <row r="47" spans="1:23" ht="62.65" x14ac:dyDescent="0.2">
      <c r="A47" s="210" t="s">
        <v>906</v>
      </c>
      <c r="B47" s="210" t="s">
        <v>208</v>
      </c>
      <c r="C47" s="210" t="s">
        <v>208</v>
      </c>
      <c r="D47" s="210" t="s">
        <v>208</v>
      </c>
      <c r="E47" s="217" t="s">
        <v>208</v>
      </c>
      <c r="F47" s="335">
        <v>8.5</v>
      </c>
      <c r="G47" s="307" t="s">
        <v>907</v>
      </c>
      <c r="H47" s="306" t="s">
        <v>908</v>
      </c>
      <c r="I47" s="419" t="s">
        <v>909</v>
      </c>
      <c r="J47" s="264" t="s">
        <v>183</v>
      </c>
      <c r="K47" s="344" t="s">
        <v>910</v>
      </c>
      <c r="L47" s="274"/>
      <c r="M47" s="240" t="str">
        <f t="shared" si="6"/>
        <v>N/A</v>
      </c>
      <c r="N47" s="210" t="s">
        <v>213</v>
      </c>
      <c r="O47" s="344" t="s">
        <v>214</v>
      </c>
      <c r="P47" s="344" t="s">
        <v>214</v>
      </c>
      <c r="Q47" s="344" t="s">
        <v>214</v>
      </c>
      <c r="R47" s="344" t="s">
        <v>214</v>
      </c>
      <c r="S47" s="344" t="s">
        <v>214</v>
      </c>
      <c r="T47" s="209">
        <f t="shared" si="1"/>
        <v>1</v>
      </c>
      <c r="U47" s="241">
        <f t="shared" si="2"/>
        <v>0</v>
      </c>
      <c r="V47" s="241">
        <f t="shared" si="3"/>
        <v>1</v>
      </c>
      <c r="W47" s="241">
        <f t="shared" si="0"/>
        <v>1</v>
      </c>
    </row>
    <row r="48" spans="1:23" ht="37.6" x14ac:dyDescent="0.2">
      <c r="A48" s="210" t="s">
        <v>911</v>
      </c>
      <c r="B48" s="210" t="s">
        <v>208</v>
      </c>
      <c r="C48" s="210" t="s">
        <v>208</v>
      </c>
      <c r="D48" s="210" t="s">
        <v>208</v>
      </c>
      <c r="E48" s="217" t="s">
        <v>208</v>
      </c>
      <c r="F48" s="335">
        <v>8.5</v>
      </c>
      <c r="G48" s="307" t="s">
        <v>912</v>
      </c>
      <c r="H48" s="306" t="s">
        <v>913</v>
      </c>
      <c r="I48" s="419" t="s">
        <v>914</v>
      </c>
      <c r="J48" s="210" t="s">
        <v>183</v>
      </c>
      <c r="K48" s="344" t="s">
        <v>915</v>
      </c>
      <c r="L48" s="274"/>
      <c r="M48" s="240" t="str">
        <f t="shared" si="6"/>
        <v>N/A</v>
      </c>
      <c r="N48" s="210" t="s">
        <v>213</v>
      </c>
      <c r="O48" s="344" t="s">
        <v>214</v>
      </c>
      <c r="P48" s="344" t="s">
        <v>214</v>
      </c>
      <c r="Q48" s="344" t="s">
        <v>214</v>
      </c>
      <c r="R48" s="344" t="s">
        <v>214</v>
      </c>
      <c r="S48" s="344" t="s">
        <v>214</v>
      </c>
      <c r="T48" s="209">
        <f t="shared" si="1"/>
        <v>1</v>
      </c>
      <c r="U48" s="241">
        <f t="shared" si="2"/>
        <v>0</v>
      </c>
      <c r="V48" s="241">
        <f t="shared" si="3"/>
        <v>1</v>
      </c>
      <c r="W48" s="241">
        <f t="shared" si="0"/>
        <v>1</v>
      </c>
    </row>
    <row r="49" spans="1:23" ht="50.1" hidden="1" x14ac:dyDescent="0.2">
      <c r="A49" s="210" t="s">
        <v>916</v>
      </c>
      <c r="B49" s="210" t="s">
        <v>208</v>
      </c>
      <c r="C49" s="344"/>
      <c r="D49" s="344"/>
      <c r="E49" s="217"/>
      <c r="F49" s="335">
        <v>8.5</v>
      </c>
      <c r="G49" s="307">
        <v>4</v>
      </c>
      <c r="H49" s="306" t="s">
        <v>917</v>
      </c>
      <c r="I49" s="419" t="s">
        <v>918</v>
      </c>
      <c r="J49" s="264" t="s">
        <v>183</v>
      </c>
      <c r="K49" s="344" t="s">
        <v>919</v>
      </c>
      <c r="L49" s="274"/>
      <c r="M49" s="240" t="str">
        <f t="shared" si="6"/>
        <v>N/A</v>
      </c>
      <c r="N49" s="210" t="s">
        <v>213</v>
      </c>
      <c r="O49" s="344" t="s">
        <v>214</v>
      </c>
      <c r="P49" s="344" t="s">
        <v>214</v>
      </c>
      <c r="Q49" s="344" t="s">
        <v>214</v>
      </c>
      <c r="R49" s="344" t="s">
        <v>214</v>
      </c>
      <c r="S49" s="344" t="s">
        <v>214</v>
      </c>
      <c r="T49" s="209">
        <f t="shared" si="1"/>
        <v>1</v>
      </c>
      <c r="U49" s="241">
        <f t="shared" si="2"/>
        <v>0</v>
      </c>
      <c r="V49" s="241">
        <f t="shared" si="3"/>
        <v>1</v>
      </c>
      <c r="W49" s="241">
        <f t="shared" si="0"/>
        <v>1</v>
      </c>
    </row>
    <row r="50" spans="1:23" s="287" customFormat="1" hidden="1" x14ac:dyDescent="0.2">
      <c r="A50" s="298"/>
      <c r="B50" s="298"/>
      <c r="C50" s="298"/>
      <c r="D50" s="298"/>
      <c r="E50" s="299"/>
      <c r="F50" s="300" t="s">
        <v>920</v>
      </c>
      <c r="G50" s="415"/>
      <c r="H50" s="416"/>
      <c r="I50" s="298"/>
      <c r="J50" s="298"/>
      <c r="K50" s="411"/>
      <c r="L50" s="298"/>
      <c r="M50" s="298"/>
      <c r="N50" s="303"/>
      <c r="O50" s="303"/>
      <c r="P50" s="303"/>
      <c r="Q50" s="304"/>
      <c r="R50" s="417"/>
      <c r="S50" s="417"/>
      <c r="T50" s="209">
        <f t="shared" si="1"/>
        <v>1</v>
      </c>
      <c r="U50" s="241">
        <f t="shared" si="2"/>
        <v>0</v>
      </c>
      <c r="V50" s="241">
        <f t="shared" si="3"/>
        <v>1</v>
      </c>
      <c r="W50" s="241"/>
    </row>
    <row r="51" spans="1:23" ht="137.75" hidden="1" x14ac:dyDescent="0.2">
      <c r="A51" s="210" t="s">
        <v>921</v>
      </c>
      <c r="B51" s="210" t="s">
        <v>208</v>
      </c>
      <c r="C51" s="210" t="s">
        <v>208</v>
      </c>
      <c r="D51" s="210" t="s">
        <v>208</v>
      </c>
      <c r="E51" s="217"/>
      <c r="F51" s="335">
        <v>8.6</v>
      </c>
      <c r="G51" s="307">
        <v>1</v>
      </c>
      <c r="H51" s="306" t="s">
        <v>922</v>
      </c>
      <c r="I51" s="413" t="s">
        <v>923</v>
      </c>
      <c r="J51" s="264" t="s">
        <v>183</v>
      </c>
      <c r="K51" s="344" t="s">
        <v>924</v>
      </c>
      <c r="L51" s="274"/>
      <c r="M51" s="216" t="str">
        <f>IFERROR(IF(N51="Maturity",HLOOKUP(L51,$O$2:$S$201,ROW()-1,0),"N/A"),"")</f>
        <v>N/A</v>
      </c>
      <c r="N51" s="210" t="s">
        <v>213</v>
      </c>
      <c r="O51" s="400" t="s">
        <v>214</v>
      </c>
      <c r="P51" s="400" t="s">
        <v>214</v>
      </c>
      <c r="Q51" s="400" t="s">
        <v>214</v>
      </c>
      <c r="R51" s="400" t="s">
        <v>214</v>
      </c>
      <c r="S51" s="400" t="s">
        <v>214</v>
      </c>
      <c r="T51" s="209">
        <f t="shared" si="1"/>
        <v>1</v>
      </c>
      <c r="U51" s="241">
        <f t="shared" si="2"/>
        <v>0</v>
      </c>
      <c r="V51" s="241">
        <f t="shared" si="3"/>
        <v>1</v>
      </c>
      <c r="W51" s="241">
        <f t="shared" si="0"/>
        <v>1</v>
      </c>
    </row>
    <row r="52" spans="1:23" ht="87.65" hidden="1" x14ac:dyDescent="0.2">
      <c r="A52" s="210" t="s">
        <v>925</v>
      </c>
      <c r="B52" s="210" t="s">
        <v>208</v>
      </c>
      <c r="C52" s="210" t="s">
        <v>208</v>
      </c>
      <c r="D52" s="210" t="s">
        <v>208</v>
      </c>
      <c r="E52" s="217"/>
      <c r="F52" s="335">
        <v>8.6</v>
      </c>
      <c r="G52" s="307">
        <v>2</v>
      </c>
      <c r="H52" s="306" t="s">
        <v>926</v>
      </c>
      <c r="I52" s="413" t="s">
        <v>927</v>
      </c>
      <c r="J52" s="264" t="s">
        <v>183</v>
      </c>
      <c r="K52" s="344" t="s">
        <v>928</v>
      </c>
      <c r="L52" s="274"/>
      <c r="M52" s="216" t="str">
        <f>IFERROR(IF(N52="Maturity",HLOOKUP(L52,$O$2:$S$201,ROW()-1,0),"N/A"),"")</f>
        <v>N/A</v>
      </c>
      <c r="N52" s="210" t="s">
        <v>213</v>
      </c>
      <c r="O52" s="400" t="s">
        <v>214</v>
      </c>
      <c r="P52" s="400" t="s">
        <v>214</v>
      </c>
      <c r="Q52" s="400" t="s">
        <v>214</v>
      </c>
      <c r="R52" s="400" t="s">
        <v>214</v>
      </c>
      <c r="S52" s="400" t="s">
        <v>214</v>
      </c>
      <c r="T52" s="209">
        <f t="shared" si="1"/>
        <v>1</v>
      </c>
      <c r="U52" s="241">
        <f t="shared" si="2"/>
        <v>0</v>
      </c>
      <c r="V52" s="241">
        <f t="shared" si="3"/>
        <v>1</v>
      </c>
      <c r="W52" s="241">
        <f t="shared" si="0"/>
        <v>1</v>
      </c>
    </row>
    <row r="53" spans="1:23" ht="100.2" hidden="1" x14ac:dyDescent="0.2">
      <c r="A53" s="210" t="s">
        <v>929</v>
      </c>
      <c r="B53" s="210" t="s">
        <v>208</v>
      </c>
      <c r="C53" s="210" t="s">
        <v>208</v>
      </c>
      <c r="D53" s="210" t="s">
        <v>208</v>
      </c>
      <c r="E53" s="217"/>
      <c r="F53" s="335">
        <v>8.6</v>
      </c>
      <c r="G53" s="307">
        <v>3</v>
      </c>
      <c r="H53" s="306" t="s">
        <v>930</v>
      </c>
      <c r="I53" s="413" t="s">
        <v>931</v>
      </c>
      <c r="J53" s="264" t="s">
        <v>183</v>
      </c>
      <c r="K53" s="344" t="s">
        <v>932</v>
      </c>
      <c r="L53" s="274"/>
      <c r="M53" s="216" t="str">
        <f>IFERROR(IF(N53="Maturity",HLOOKUP(L53,$O$2:$S$201,ROW()-1,0),"N/A"),"")</f>
        <v>N/A</v>
      </c>
      <c r="N53" s="210" t="s">
        <v>213</v>
      </c>
      <c r="O53" s="400" t="s">
        <v>214</v>
      </c>
      <c r="P53" s="400" t="s">
        <v>214</v>
      </c>
      <c r="Q53" s="400" t="s">
        <v>214</v>
      </c>
      <c r="R53" s="400" t="s">
        <v>214</v>
      </c>
      <c r="S53" s="400" t="s">
        <v>214</v>
      </c>
      <c r="T53" s="209">
        <f t="shared" si="1"/>
        <v>1</v>
      </c>
      <c r="U53" s="241">
        <f t="shared" si="2"/>
        <v>0</v>
      </c>
      <c r="V53" s="241">
        <f t="shared" si="3"/>
        <v>1</v>
      </c>
      <c r="W53" s="241">
        <f t="shared" si="0"/>
        <v>1</v>
      </c>
    </row>
    <row r="54" spans="1:23" ht="50.1" hidden="1" x14ac:dyDescent="0.2">
      <c r="A54" s="210" t="s">
        <v>933</v>
      </c>
      <c r="B54" s="210" t="s">
        <v>208</v>
      </c>
      <c r="C54" s="210" t="s">
        <v>208</v>
      </c>
      <c r="D54" s="210" t="s">
        <v>208</v>
      </c>
      <c r="E54" s="217"/>
      <c r="F54" s="335">
        <v>8.6</v>
      </c>
      <c r="G54" s="307">
        <v>4</v>
      </c>
      <c r="H54" s="306" t="s">
        <v>934</v>
      </c>
      <c r="I54" s="413" t="s">
        <v>935</v>
      </c>
      <c r="J54" s="210" t="s">
        <v>183</v>
      </c>
      <c r="K54" s="344" t="s">
        <v>936</v>
      </c>
      <c r="L54" s="274"/>
      <c r="M54" s="216" t="str">
        <f>IFERROR(IF(N54="Maturity",HLOOKUP(L54,$O$2:$S$201,ROW()-1,0),"N/A"),"")</f>
        <v>N/A</v>
      </c>
      <c r="N54" s="210" t="s">
        <v>213</v>
      </c>
      <c r="O54" s="344" t="s">
        <v>214</v>
      </c>
      <c r="P54" s="344" t="s">
        <v>214</v>
      </c>
      <c r="Q54" s="344" t="s">
        <v>214</v>
      </c>
      <c r="R54" s="344" t="s">
        <v>214</v>
      </c>
      <c r="S54" s="344" t="s">
        <v>214</v>
      </c>
      <c r="T54" s="209">
        <f t="shared" si="1"/>
        <v>1</v>
      </c>
      <c r="U54" s="241">
        <f t="shared" si="2"/>
        <v>0</v>
      </c>
      <c r="V54" s="241">
        <f t="shared" si="3"/>
        <v>1</v>
      </c>
      <c r="W54" s="241">
        <f t="shared" si="0"/>
        <v>1</v>
      </c>
    </row>
    <row r="55" spans="1:23" s="287" customFormat="1" hidden="1" x14ac:dyDescent="0.2">
      <c r="A55" s="298"/>
      <c r="B55" s="298"/>
      <c r="C55" s="298"/>
      <c r="D55" s="298"/>
      <c r="E55" s="299"/>
      <c r="F55" s="300" t="s">
        <v>937</v>
      </c>
      <c r="G55" s="415"/>
      <c r="H55" s="416"/>
      <c r="I55" s="298"/>
      <c r="J55" s="298"/>
      <c r="K55" s="411"/>
      <c r="L55" s="298"/>
      <c r="M55" s="298"/>
      <c r="N55" s="303"/>
      <c r="O55" s="303"/>
      <c r="P55" s="303"/>
      <c r="Q55" s="304"/>
      <c r="R55" s="417"/>
      <c r="S55" s="417"/>
      <c r="T55" s="209">
        <f t="shared" si="1"/>
        <v>1</v>
      </c>
      <c r="U55" s="241">
        <f t="shared" si="2"/>
        <v>0</v>
      </c>
      <c r="V55" s="241">
        <f t="shared" si="3"/>
        <v>1</v>
      </c>
      <c r="W55" s="241"/>
    </row>
    <row r="56" spans="1:23" ht="62.65" hidden="1" x14ac:dyDescent="0.2">
      <c r="A56" s="210" t="s">
        <v>938</v>
      </c>
      <c r="B56" s="210" t="s">
        <v>208</v>
      </c>
      <c r="C56" s="210" t="s">
        <v>208</v>
      </c>
      <c r="D56" s="210" t="s">
        <v>208</v>
      </c>
      <c r="E56" s="217"/>
      <c r="F56" s="335">
        <v>8.6999999999999993</v>
      </c>
      <c r="G56" s="307" t="s">
        <v>474</v>
      </c>
      <c r="H56" s="306" t="s">
        <v>939</v>
      </c>
      <c r="I56" s="399" t="s">
        <v>940</v>
      </c>
      <c r="J56" s="239" t="s">
        <v>183</v>
      </c>
      <c r="K56" s="216" t="s">
        <v>941</v>
      </c>
      <c r="L56" s="274"/>
      <c r="M56" s="216" t="str">
        <f t="shared" ref="M56:M68" si="7">IFERROR(IF(N56="Maturity",HLOOKUP(L56,$O$2:$S$201,ROW()-1,0),"N/A"),"")</f>
        <v>N/A</v>
      </c>
      <c r="N56" s="210" t="s">
        <v>213</v>
      </c>
      <c r="O56" s="400" t="s">
        <v>214</v>
      </c>
      <c r="P56" s="400" t="s">
        <v>214</v>
      </c>
      <c r="Q56" s="400" t="s">
        <v>214</v>
      </c>
      <c r="R56" s="400" t="s">
        <v>214</v>
      </c>
      <c r="S56" s="400" t="s">
        <v>214</v>
      </c>
      <c r="T56" s="209">
        <f t="shared" si="1"/>
        <v>1</v>
      </c>
      <c r="U56" s="241">
        <f t="shared" si="2"/>
        <v>0</v>
      </c>
      <c r="V56" s="241">
        <f t="shared" si="3"/>
        <v>1</v>
      </c>
      <c r="W56" s="241">
        <f t="shared" si="0"/>
        <v>1</v>
      </c>
    </row>
    <row r="57" spans="1:23" ht="62.65" hidden="1" x14ac:dyDescent="0.2">
      <c r="A57" s="210" t="s">
        <v>942</v>
      </c>
      <c r="B57" s="210" t="s">
        <v>208</v>
      </c>
      <c r="C57" s="210" t="s">
        <v>208</v>
      </c>
      <c r="D57" s="210" t="s">
        <v>208</v>
      </c>
      <c r="E57" s="217"/>
      <c r="F57" s="335">
        <v>8.6999999999999993</v>
      </c>
      <c r="G57" s="307" t="s">
        <v>479</v>
      </c>
      <c r="H57" s="306" t="s">
        <v>943</v>
      </c>
      <c r="I57" s="366" t="s">
        <v>944</v>
      </c>
      <c r="J57" s="215" t="s">
        <v>183</v>
      </c>
      <c r="K57" s="216" t="s">
        <v>945</v>
      </c>
      <c r="L57" s="274"/>
      <c r="M57" s="216" t="str">
        <f t="shared" si="7"/>
        <v>N/A</v>
      </c>
      <c r="N57" s="210" t="s">
        <v>213</v>
      </c>
      <c r="O57" s="344" t="s">
        <v>214</v>
      </c>
      <c r="P57" s="344" t="s">
        <v>214</v>
      </c>
      <c r="Q57" s="344" t="s">
        <v>214</v>
      </c>
      <c r="R57" s="344" t="s">
        <v>214</v>
      </c>
      <c r="S57" s="344" t="s">
        <v>214</v>
      </c>
      <c r="T57" s="209">
        <f t="shared" si="1"/>
        <v>1</v>
      </c>
      <c r="U57" s="241">
        <f t="shared" si="2"/>
        <v>0</v>
      </c>
      <c r="V57" s="241">
        <f t="shared" si="3"/>
        <v>1</v>
      </c>
      <c r="W57" s="241">
        <f t="shared" si="0"/>
        <v>1</v>
      </c>
    </row>
    <row r="58" spans="1:23" ht="125.25" hidden="1" x14ac:dyDescent="0.2">
      <c r="A58" s="210" t="s">
        <v>946</v>
      </c>
      <c r="B58" s="210" t="s">
        <v>208</v>
      </c>
      <c r="C58" s="210" t="s">
        <v>208</v>
      </c>
      <c r="D58" s="210" t="s">
        <v>208</v>
      </c>
      <c r="E58" s="217"/>
      <c r="F58" s="335">
        <v>8.6999999999999993</v>
      </c>
      <c r="G58" s="307" t="s">
        <v>484</v>
      </c>
      <c r="H58" s="306" t="s">
        <v>947</v>
      </c>
      <c r="I58" s="399" t="s">
        <v>948</v>
      </c>
      <c r="J58" s="239" t="s">
        <v>183</v>
      </c>
      <c r="K58" s="216" t="s">
        <v>949</v>
      </c>
      <c r="L58" s="274"/>
      <c r="M58" s="216" t="str">
        <f t="shared" si="7"/>
        <v>N/A</v>
      </c>
      <c r="N58" s="210" t="s">
        <v>213</v>
      </c>
      <c r="O58" s="400" t="s">
        <v>214</v>
      </c>
      <c r="P58" s="400" t="s">
        <v>214</v>
      </c>
      <c r="Q58" s="400" t="s">
        <v>214</v>
      </c>
      <c r="R58" s="400" t="s">
        <v>214</v>
      </c>
      <c r="S58" s="400" t="s">
        <v>214</v>
      </c>
      <c r="T58" s="209">
        <f t="shared" si="1"/>
        <v>1</v>
      </c>
      <c r="U58" s="241">
        <f t="shared" si="2"/>
        <v>0</v>
      </c>
      <c r="V58" s="241">
        <f t="shared" si="3"/>
        <v>1</v>
      </c>
      <c r="W58" s="241">
        <f t="shared" si="0"/>
        <v>1</v>
      </c>
    </row>
    <row r="59" spans="1:23" ht="62.65" hidden="1" x14ac:dyDescent="0.2">
      <c r="A59" s="210" t="s">
        <v>950</v>
      </c>
      <c r="B59" s="210" t="s">
        <v>208</v>
      </c>
      <c r="C59" s="210" t="s">
        <v>208</v>
      </c>
      <c r="D59" s="210" t="s">
        <v>208</v>
      </c>
      <c r="E59" s="217"/>
      <c r="F59" s="335">
        <v>8.6999999999999993</v>
      </c>
      <c r="G59" s="307" t="s">
        <v>484</v>
      </c>
      <c r="H59" s="306" t="s">
        <v>947</v>
      </c>
      <c r="I59" s="366" t="s">
        <v>951</v>
      </c>
      <c r="J59" s="215" t="s">
        <v>183</v>
      </c>
      <c r="K59" s="216" t="s">
        <v>952</v>
      </c>
      <c r="L59" s="274"/>
      <c r="M59" s="216" t="str">
        <f t="shared" si="7"/>
        <v>N/A</v>
      </c>
      <c r="N59" s="210" t="s">
        <v>213</v>
      </c>
      <c r="O59" s="344" t="s">
        <v>214</v>
      </c>
      <c r="P59" s="344" t="s">
        <v>214</v>
      </c>
      <c r="Q59" s="344" t="s">
        <v>214</v>
      </c>
      <c r="R59" s="344" t="s">
        <v>214</v>
      </c>
      <c r="S59" s="344" t="s">
        <v>214</v>
      </c>
      <c r="T59" s="209">
        <f t="shared" si="1"/>
        <v>1</v>
      </c>
      <c r="U59" s="241">
        <f t="shared" si="2"/>
        <v>0</v>
      </c>
      <c r="V59" s="241">
        <f t="shared" si="3"/>
        <v>1</v>
      </c>
      <c r="W59" s="241">
        <f t="shared" si="0"/>
        <v>1</v>
      </c>
    </row>
    <row r="60" spans="1:23" ht="75.150000000000006" hidden="1" x14ac:dyDescent="0.2">
      <c r="A60" s="210" t="s">
        <v>953</v>
      </c>
      <c r="B60" s="210" t="s">
        <v>208</v>
      </c>
      <c r="C60" s="210" t="s">
        <v>208</v>
      </c>
      <c r="D60" s="210" t="s">
        <v>208</v>
      </c>
      <c r="E60" s="217"/>
      <c r="F60" s="335">
        <v>8.6999999999999993</v>
      </c>
      <c r="G60" s="307" t="s">
        <v>484</v>
      </c>
      <c r="H60" s="306" t="s">
        <v>947</v>
      </c>
      <c r="I60" s="399" t="s">
        <v>954</v>
      </c>
      <c r="J60" s="239" t="s">
        <v>183</v>
      </c>
      <c r="K60" s="216" t="s">
        <v>955</v>
      </c>
      <c r="L60" s="274"/>
      <c r="M60" s="216" t="str">
        <f t="shared" si="7"/>
        <v>N/A</v>
      </c>
      <c r="N60" s="210" t="s">
        <v>213</v>
      </c>
      <c r="O60" s="400" t="s">
        <v>214</v>
      </c>
      <c r="P60" s="400" t="s">
        <v>214</v>
      </c>
      <c r="Q60" s="400" t="s">
        <v>214</v>
      </c>
      <c r="R60" s="400" t="s">
        <v>214</v>
      </c>
      <c r="S60" s="400" t="s">
        <v>214</v>
      </c>
      <c r="T60" s="209">
        <f t="shared" si="1"/>
        <v>1</v>
      </c>
      <c r="U60" s="241">
        <f t="shared" si="2"/>
        <v>0</v>
      </c>
      <c r="V60" s="241">
        <f t="shared" si="3"/>
        <v>1</v>
      </c>
      <c r="W60" s="241">
        <f t="shared" si="0"/>
        <v>1</v>
      </c>
    </row>
    <row r="61" spans="1:23" ht="62.65" hidden="1" x14ac:dyDescent="0.2">
      <c r="A61" s="210" t="s">
        <v>956</v>
      </c>
      <c r="B61" s="210" t="s">
        <v>208</v>
      </c>
      <c r="C61" s="210" t="s">
        <v>208</v>
      </c>
      <c r="D61" s="210" t="s">
        <v>208</v>
      </c>
      <c r="E61" s="217"/>
      <c r="F61" s="335">
        <v>8.6999999999999993</v>
      </c>
      <c r="G61" s="307" t="s">
        <v>489</v>
      </c>
      <c r="H61" s="306" t="s">
        <v>957</v>
      </c>
      <c r="I61" s="413" t="s">
        <v>958</v>
      </c>
      <c r="J61" s="210" t="s">
        <v>183</v>
      </c>
      <c r="K61" s="344" t="s">
        <v>959</v>
      </c>
      <c r="L61" s="274"/>
      <c r="M61" s="216" t="str">
        <f t="shared" si="7"/>
        <v>N/A</v>
      </c>
      <c r="N61" s="210" t="s">
        <v>213</v>
      </c>
      <c r="O61" s="344" t="s">
        <v>214</v>
      </c>
      <c r="P61" s="344" t="s">
        <v>214</v>
      </c>
      <c r="Q61" s="344" t="s">
        <v>214</v>
      </c>
      <c r="R61" s="344" t="s">
        <v>214</v>
      </c>
      <c r="S61" s="344" t="s">
        <v>214</v>
      </c>
      <c r="T61" s="209">
        <f t="shared" si="1"/>
        <v>1</v>
      </c>
      <c r="U61" s="241">
        <f t="shared" si="2"/>
        <v>0</v>
      </c>
      <c r="V61" s="241">
        <f t="shared" si="3"/>
        <v>1</v>
      </c>
      <c r="W61" s="241">
        <f t="shared" si="0"/>
        <v>1</v>
      </c>
    </row>
    <row r="62" spans="1:23" ht="196" hidden="1" customHeight="1" x14ac:dyDescent="0.2">
      <c r="A62" s="210" t="s">
        <v>960</v>
      </c>
      <c r="B62" s="210" t="s">
        <v>208</v>
      </c>
      <c r="C62" s="210" t="s">
        <v>208</v>
      </c>
      <c r="D62" s="210" t="s">
        <v>208</v>
      </c>
      <c r="E62" s="217"/>
      <c r="F62" s="335">
        <v>8.6999999999999993</v>
      </c>
      <c r="G62" s="307" t="s">
        <v>494</v>
      </c>
      <c r="H62" s="306" t="s">
        <v>961</v>
      </c>
      <c r="I62" s="399" t="s">
        <v>962</v>
      </c>
      <c r="J62" s="264" t="s">
        <v>183</v>
      </c>
      <c r="K62" s="344" t="s">
        <v>963</v>
      </c>
      <c r="L62" s="274"/>
      <c r="M62" s="216" t="str">
        <f t="shared" si="7"/>
        <v>N/A</v>
      </c>
      <c r="N62" s="210" t="s">
        <v>213</v>
      </c>
      <c r="O62" s="400" t="s">
        <v>214</v>
      </c>
      <c r="P62" s="400" t="s">
        <v>214</v>
      </c>
      <c r="Q62" s="400" t="s">
        <v>214</v>
      </c>
      <c r="R62" s="400" t="s">
        <v>214</v>
      </c>
      <c r="S62" s="400" t="s">
        <v>214</v>
      </c>
      <c r="T62" s="209">
        <f t="shared" si="1"/>
        <v>1</v>
      </c>
      <c r="U62" s="241">
        <f t="shared" si="2"/>
        <v>0</v>
      </c>
      <c r="V62" s="241">
        <f t="shared" si="3"/>
        <v>1</v>
      </c>
      <c r="W62" s="241">
        <f t="shared" si="0"/>
        <v>1</v>
      </c>
    </row>
    <row r="63" spans="1:23" ht="304.89999999999998" hidden="1" customHeight="1" x14ac:dyDescent="0.2">
      <c r="A63" s="215" t="s">
        <v>964</v>
      </c>
      <c r="B63" s="215" t="s">
        <v>208</v>
      </c>
      <c r="C63" s="215" t="s">
        <v>208</v>
      </c>
      <c r="D63" s="215" t="s">
        <v>208</v>
      </c>
      <c r="E63" s="346"/>
      <c r="F63" s="420" t="s">
        <v>965</v>
      </c>
      <c r="G63" s="253" t="s">
        <v>494</v>
      </c>
      <c r="H63" s="215" t="s">
        <v>961</v>
      </c>
      <c r="I63" s="399" t="s">
        <v>966</v>
      </c>
      <c r="J63" s="239" t="s">
        <v>183</v>
      </c>
      <c r="K63" s="216" t="s">
        <v>967</v>
      </c>
      <c r="L63" s="274"/>
      <c r="M63" s="216" t="s">
        <v>214</v>
      </c>
      <c r="N63" s="254" t="s">
        <v>213</v>
      </c>
      <c r="O63" s="421" t="s">
        <v>214</v>
      </c>
      <c r="P63" s="421" t="s">
        <v>214</v>
      </c>
      <c r="Q63" s="421" t="s">
        <v>214</v>
      </c>
      <c r="R63" s="421" t="s">
        <v>214</v>
      </c>
      <c r="S63" s="421" t="s">
        <v>214</v>
      </c>
      <c r="T63" s="209">
        <f t="shared" si="1"/>
        <v>1</v>
      </c>
      <c r="U63" s="241">
        <f t="shared" si="2"/>
        <v>0</v>
      </c>
      <c r="V63" s="241">
        <f t="shared" si="3"/>
        <v>1</v>
      </c>
      <c r="W63" s="241">
        <f t="shared" si="0"/>
        <v>1</v>
      </c>
    </row>
    <row r="64" spans="1:23" ht="150.30000000000001" hidden="1" x14ac:dyDescent="0.2">
      <c r="A64" s="210" t="s">
        <v>968</v>
      </c>
      <c r="B64" s="210" t="s">
        <v>208</v>
      </c>
      <c r="C64" s="210" t="s">
        <v>208</v>
      </c>
      <c r="D64" s="210" t="s">
        <v>208</v>
      </c>
      <c r="E64" s="217"/>
      <c r="F64" s="335">
        <v>8.6999999999999993</v>
      </c>
      <c r="G64" s="307">
        <v>2</v>
      </c>
      <c r="H64" s="306" t="s">
        <v>969</v>
      </c>
      <c r="I64" s="413" t="s">
        <v>970</v>
      </c>
      <c r="J64" s="210" t="s">
        <v>183</v>
      </c>
      <c r="K64" s="344" t="s">
        <v>971</v>
      </c>
      <c r="L64" s="274"/>
      <c r="M64" s="216" t="str">
        <f t="shared" si="7"/>
        <v>N/A</v>
      </c>
      <c r="N64" s="210" t="s">
        <v>213</v>
      </c>
      <c r="O64" s="344" t="s">
        <v>214</v>
      </c>
      <c r="P64" s="344" t="s">
        <v>214</v>
      </c>
      <c r="Q64" s="344" t="s">
        <v>214</v>
      </c>
      <c r="R64" s="344" t="s">
        <v>214</v>
      </c>
      <c r="S64" s="344" t="s">
        <v>214</v>
      </c>
      <c r="T64" s="209">
        <f t="shared" si="1"/>
        <v>1</v>
      </c>
      <c r="U64" s="241">
        <f t="shared" si="2"/>
        <v>0</v>
      </c>
      <c r="V64" s="241">
        <f t="shared" si="3"/>
        <v>1</v>
      </c>
      <c r="W64" s="241">
        <f t="shared" si="0"/>
        <v>1</v>
      </c>
    </row>
    <row r="65" spans="1:23" ht="75.150000000000006" hidden="1" x14ac:dyDescent="0.2">
      <c r="A65" s="210" t="s">
        <v>972</v>
      </c>
      <c r="B65" s="210" t="s">
        <v>208</v>
      </c>
      <c r="C65" s="210" t="s">
        <v>208</v>
      </c>
      <c r="D65" s="210" t="s">
        <v>208</v>
      </c>
      <c r="E65" s="217"/>
      <c r="F65" s="335">
        <v>8.6999999999999993</v>
      </c>
      <c r="G65" s="307">
        <v>3</v>
      </c>
      <c r="H65" s="306" t="s">
        <v>973</v>
      </c>
      <c r="I65" s="413" t="s">
        <v>974</v>
      </c>
      <c r="J65" s="264" t="s">
        <v>183</v>
      </c>
      <c r="K65" s="344" t="s">
        <v>975</v>
      </c>
      <c r="L65" s="274"/>
      <c r="M65" s="216" t="str">
        <f t="shared" si="7"/>
        <v>N/A</v>
      </c>
      <c r="N65" s="210" t="s">
        <v>213</v>
      </c>
      <c r="O65" s="400" t="s">
        <v>214</v>
      </c>
      <c r="P65" s="400" t="s">
        <v>214</v>
      </c>
      <c r="Q65" s="400" t="s">
        <v>214</v>
      </c>
      <c r="R65" s="400" t="s">
        <v>214</v>
      </c>
      <c r="S65" s="400" t="s">
        <v>214</v>
      </c>
      <c r="T65" s="209">
        <f t="shared" si="1"/>
        <v>1</v>
      </c>
      <c r="U65" s="241">
        <f t="shared" si="2"/>
        <v>0</v>
      </c>
      <c r="V65" s="241">
        <f t="shared" si="3"/>
        <v>1</v>
      </c>
      <c r="W65" s="241">
        <f t="shared" si="0"/>
        <v>1</v>
      </c>
    </row>
    <row r="66" spans="1:23" ht="75.150000000000006" hidden="1" x14ac:dyDescent="0.2">
      <c r="A66" s="210" t="s">
        <v>976</v>
      </c>
      <c r="B66" s="210" t="s">
        <v>208</v>
      </c>
      <c r="C66" s="210" t="s">
        <v>208</v>
      </c>
      <c r="D66" s="210" t="s">
        <v>208</v>
      </c>
      <c r="E66" s="217"/>
      <c r="F66" s="335">
        <v>8.6999999999999993</v>
      </c>
      <c r="G66" s="307">
        <v>4</v>
      </c>
      <c r="H66" s="306" t="s">
        <v>977</v>
      </c>
      <c r="I66" s="366" t="s">
        <v>978</v>
      </c>
      <c r="J66" s="239" t="s">
        <v>183</v>
      </c>
      <c r="K66" s="216" t="s">
        <v>979</v>
      </c>
      <c r="L66" s="274"/>
      <c r="M66" s="216" t="str">
        <f t="shared" si="7"/>
        <v>N/A</v>
      </c>
      <c r="N66" s="210" t="s">
        <v>213</v>
      </c>
      <c r="O66" s="400" t="s">
        <v>214</v>
      </c>
      <c r="P66" s="400" t="s">
        <v>214</v>
      </c>
      <c r="Q66" s="400" t="s">
        <v>214</v>
      </c>
      <c r="R66" s="400" t="s">
        <v>214</v>
      </c>
      <c r="S66" s="400" t="s">
        <v>214</v>
      </c>
      <c r="T66" s="209">
        <f t="shared" si="1"/>
        <v>1</v>
      </c>
      <c r="U66" s="241">
        <f t="shared" si="2"/>
        <v>0</v>
      </c>
      <c r="V66" s="241">
        <f t="shared" si="3"/>
        <v>1</v>
      </c>
      <c r="W66" s="241">
        <f t="shared" si="0"/>
        <v>1</v>
      </c>
    </row>
    <row r="67" spans="1:23" ht="25.05" hidden="1" x14ac:dyDescent="0.2">
      <c r="A67" s="210" t="s">
        <v>980</v>
      </c>
      <c r="B67" s="210" t="s">
        <v>208</v>
      </c>
      <c r="C67" s="210" t="s">
        <v>208</v>
      </c>
      <c r="D67" s="210" t="s">
        <v>208</v>
      </c>
      <c r="E67" s="217"/>
      <c r="F67" s="335">
        <v>8.6999999999999993</v>
      </c>
      <c r="G67" s="307">
        <v>4</v>
      </c>
      <c r="H67" s="306" t="s">
        <v>977</v>
      </c>
      <c r="I67" s="366" t="s">
        <v>981</v>
      </c>
      <c r="J67" s="239" t="s">
        <v>183</v>
      </c>
      <c r="K67" s="216" t="s">
        <v>982</v>
      </c>
      <c r="L67" s="274"/>
      <c r="M67" s="216" t="str">
        <f t="shared" si="7"/>
        <v>N/A</v>
      </c>
      <c r="N67" s="210" t="s">
        <v>213</v>
      </c>
      <c r="O67" s="400" t="s">
        <v>214</v>
      </c>
      <c r="P67" s="400" t="s">
        <v>214</v>
      </c>
      <c r="Q67" s="400" t="s">
        <v>214</v>
      </c>
      <c r="R67" s="400" t="s">
        <v>214</v>
      </c>
      <c r="S67" s="400" t="s">
        <v>214</v>
      </c>
      <c r="T67" s="209">
        <f t="shared" si="1"/>
        <v>1</v>
      </c>
      <c r="U67" s="241">
        <f t="shared" si="2"/>
        <v>0</v>
      </c>
      <c r="V67" s="241">
        <f t="shared" si="3"/>
        <v>1</v>
      </c>
      <c r="W67" s="241">
        <f t="shared" si="0"/>
        <v>1</v>
      </c>
    </row>
    <row r="68" spans="1:23" ht="25.05" hidden="1" x14ac:dyDescent="0.2">
      <c r="A68" s="210" t="s">
        <v>983</v>
      </c>
      <c r="B68" s="210" t="s">
        <v>208</v>
      </c>
      <c r="C68" s="210" t="s">
        <v>208</v>
      </c>
      <c r="D68" s="210" t="s">
        <v>208</v>
      </c>
      <c r="E68" s="217"/>
      <c r="F68" s="335">
        <v>8.6999999999999993</v>
      </c>
      <c r="G68" s="307">
        <v>4</v>
      </c>
      <c r="H68" s="306" t="s">
        <v>977</v>
      </c>
      <c r="I68" s="366" t="s">
        <v>984</v>
      </c>
      <c r="J68" s="215" t="s">
        <v>183</v>
      </c>
      <c r="K68" s="216" t="s">
        <v>985</v>
      </c>
      <c r="L68" s="274"/>
      <c r="M68" s="216" t="str">
        <f t="shared" si="7"/>
        <v>N/A</v>
      </c>
      <c r="N68" s="210" t="s">
        <v>213</v>
      </c>
      <c r="O68" s="344" t="s">
        <v>214</v>
      </c>
      <c r="P68" s="344" t="s">
        <v>214</v>
      </c>
      <c r="Q68" s="344" t="s">
        <v>214</v>
      </c>
      <c r="R68" s="344" t="s">
        <v>214</v>
      </c>
      <c r="S68" s="344" t="s">
        <v>214</v>
      </c>
      <c r="T68" s="209">
        <f t="shared" si="1"/>
        <v>1</v>
      </c>
      <c r="U68" s="241">
        <f t="shared" si="2"/>
        <v>0</v>
      </c>
      <c r="V68" s="241">
        <f t="shared" si="3"/>
        <v>1</v>
      </c>
      <c r="W68" s="241">
        <f t="shared" si="0"/>
        <v>1</v>
      </c>
    </row>
    <row r="69" spans="1:23" s="287" customFormat="1" hidden="1" x14ac:dyDescent="0.2">
      <c r="A69" s="298"/>
      <c r="B69" s="298"/>
      <c r="C69" s="298"/>
      <c r="D69" s="298"/>
      <c r="E69" s="299"/>
      <c r="F69" s="300" t="s">
        <v>986</v>
      </c>
      <c r="G69" s="415"/>
      <c r="H69" s="416"/>
      <c r="I69" s="298"/>
      <c r="J69" s="298"/>
      <c r="K69" s="411"/>
      <c r="L69" s="298"/>
      <c r="M69" s="298"/>
      <c r="N69" s="303"/>
      <c r="O69" s="303"/>
      <c r="P69" s="303"/>
      <c r="Q69" s="304"/>
      <c r="R69" s="417"/>
      <c r="S69" s="417"/>
      <c r="T69" s="209">
        <f t="shared" si="1"/>
        <v>1</v>
      </c>
      <c r="U69" s="241">
        <f t="shared" si="2"/>
        <v>0</v>
      </c>
      <c r="V69" s="241">
        <f t="shared" si="3"/>
        <v>1</v>
      </c>
      <c r="W69" s="241"/>
    </row>
    <row r="70" spans="1:23" ht="62.65" hidden="1" x14ac:dyDescent="0.2">
      <c r="A70" s="210" t="s">
        <v>987</v>
      </c>
      <c r="B70" s="210" t="s">
        <v>208</v>
      </c>
      <c r="C70" s="210" t="s">
        <v>208</v>
      </c>
      <c r="D70" s="210" t="s">
        <v>208</v>
      </c>
      <c r="E70" s="217"/>
      <c r="F70" s="335">
        <v>8.8000000000000007</v>
      </c>
      <c r="G70" s="307">
        <v>1</v>
      </c>
      <c r="H70" s="306" t="s">
        <v>988</v>
      </c>
      <c r="I70" s="413" t="s">
        <v>989</v>
      </c>
      <c r="J70" s="264" t="s">
        <v>183</v>
      </c>
      <c r="K70" s="344" t="s">
        <v>990</v>
      </c>
      <c r="L70" s="274"/>
      <c r="M70" s="216" t="str">
        <f t="shared" ref="M70:M75" si="8">IFERROR(IF(N70="Maturity",HLOOKUP(L70,$O$2:$S$201,ROW()-1,0),"N/A"),"")</f>
        <v>N/A</v>
      </c>
      <c r="N70" s="210" t="s">
        <v>213</v>
      </c>
      <c r="O70" s="400" t="s">
        <v>214</v>
      </c>
      <c r="P70" s="400" t="s">
        <v>214</v>
      </c>
      <c r="Q70" s="400" t="s">
        <v>214</v>
      </c>
      <c r="R70" s="400" t="s">
        <v>214</v>
      </c>
      <c r="S70" s="400" t="s">
        <v>214</v>
      </c>
      <c r="T70" s="209">
        <f t="shared" si="1"/>
        <v>1</v>
      </c>
      <c r="U70" s="241">
        <f t="shared" si="2"/>
        <v>0</v>
      </c>
      <c r="V70" s="241">
        <f t="shared" si="3"/>
        <v>1</v>
      </c>
      <c r="W70" s="241">
        <f t="shared" si="0"/>
        <v>1</v>
      </c>
    </row>
    <row r="71" spans="1:23" ht="62.65" hidden="1" x14ac:dyDescent="0.2">
      <c r="A71" s="210" t="s">
        <v>991</v>
      </c>
      <c r="B71" s="210" t="s">
        <v>208</v>
      </c>
      <c r="C71" s="210" t="s">
        <v>208</v>
      </c>
      <c r="D71" s="210" t="s">
        <v>208</v>
      </c>
      <c r="E71" s="217"/>
      <c r="F71" s="335">
        <v>8.8000000000000007</v>
      </c>
      <c r="G71" s="307">
        <v>2</v>
      </c>
      <c r="H71" s="306" t="s">
        <v>992</v>
      </c>
      <c r="I71" s="413" t="s">
        <v>993</v>
      </c>
      <c r="J71" s="264" t="s">
        <v>183</v>
      </c>
      <c r="K71" s="344" t="s">
        <v>994</v>
      </c>
      <c r="L71" s="274"/>
      <c r="M71" s="216" t="str">
        <f t="shared" si="8"/>
        <v>N/A</v>
      </c>
      <c r="N71" s="210" t="s">
        <v>213</v>
      </c>
      <c r="O71" s="400" t="s">
        <v>214</v>
      </c>
      <c r="P71" s="400" t="s">
        <v>214</v>
      </c>
      <c r="Q71" s="400" t="s">
        <v>214</v>
      </c>
      <c r="R71" s="400" t="s">
        <v>214</v>
      </c>
      <c r="S71" s="400" t="s">
        <v>214</v>
      </c>
      <c r="T71" s="209">
        <f t="shared" ref="T71:T95" si="9">IF(OR(L71="Yes",L71="M3",L71="M4",L71="M5"),3,IF(OR(L71="Partial",L71="M2"),2,IF(L71="N/A",0,1)))</f>
        <v>1</v>
      </c>
      <c r="U71" s="241">
        <f t="shared" ref="U71:U96" si="10">IF(L71="M4",1,IF(L71="M5",2,0))</f>
        <v>0</v>
      </c>
      <c r="V71" s="241">
        <f t="shared" ref="V71:V96" si="11">T71+U71</f>
        <v>1</v>
      </c>
      <c r="W71" s="241">
        <f t="shared" si="0"/>
        <v>1</v>
      </c>
    </row>
    <row r="72" spans="1:23" ht="37.6" hidden="1" x14ac:dyDescent="0.2">
      <c r="A72" s="210" t="s">
        <v>995</v>
      </c>
      <c r="B72" s="210" t="s">
        <v>208</v>
      </c>
      <c r="C72" s="210"/>
      <c r="D72" s="210"/>
      <c r="E72" s="217"/>
      <c r="F72" s="335">
        <v>8.8000000000000007</v>
      </c>
      <c r="G72" s="307">
        <v>3</v>
      </c>
      <c r="H72" s="306" t="s">
        <v>996</v>
      </c>
      <c r="I72" s="413" t="s">
        <v>997</v>
      </c>
      <c r="J72" s="264" t="s">
        <v>183</v>
      </c>
      <c r="K72" s="344" t="s">
        <v>998</v>
      </c>
      <c r="L72" s="274"/>
      <c r="M72" s="216" t="str">
        <f t="shared" si="8"/>
        <v>N/A</v>
      </c>
      <c r="N72" s="210" t="s">
        <v>213</v>
      </c>
      <c r="O72" s="344" t="s">
        <v>214</v>
      </c>
      <c r="P72" s="344" t="s">
        <v>214</v>
      </c>
      <c r="Q72" s="344" t="s">
        <v>214</v>
      </c>
      <c r="R72" s="344" t="s">
        <v>214</v>
      </c>
      <c r="S72" s="344" t="s">
        <v>214</v>
      </c>
      <c r="T72" s="209">
        <f t="shared" si="9"/>
        <v>1</v>
      </c>
      <c r="U72" s="241">
        <f t="shared" si="10"/>
        <v>0</v>
      </c>
      <c r="V72" s="241">
        <f t="shared" si="11"/>
        <v>1</v>
      </c>
      <c r="W72" s="241">
        <f t="shared" ref="W72:W87" si="12">IF(ISBLANK(L72),1,0)</f>
        <v>1</v>
      </c>
    </row>
    <row r="73" spans="1:23" ht="108.8" hidden="1" customHeight="1" x14ac:dyDescent="0.2">
      <c r="A73" s="210" t="s">
        <v>999</v>
      </c>
      <c r="B73" s="210" t="s">
        <v>208</v>
      </c>
      <c r="C73" s="210"/>
      <c r="D73" s="210"/>
      <c r="E73" s="217"/>
      <c r="F73" s="335">
        <v>8.8000000000000007</v>
      </c>
      <c r="G73" s="307">
        <v>4</v>
      </c>
      <c r="H73" s="306" t="s">
        <v>1000</v>
      </c>
      <c r="I73" s="413" t="s">
        <v>1001</v>
      </c>
      <c r="J73" s="210" t="s">
        <v>183</v>
      </c>
      <c r="K73" s="344" t="s">
        <v>1002</v>
      </c>
      <c r="L73" s="274"/>
      <c r="M73" s="216" t="str">
        <f t="shared" si="8"/>
        <v>N/A</v>
      </c>
      <c r="N73" s="210" t="s">
        <v>213</v>
      </c>
      <c r="O73" s="344" t="s">
        <v>214</v>
      </c>
      <c r="P73" s="344" t="s">
        <v>214</v>
      </c>
      <c r="Q73" s="344" t="s">
        <v>214</v>
      </c>
      <c r="R73" s="344" t="s">
        <v>214</v>
      </c>
      <c r="S73" s="344" t="s">
        <v>214</v>
      </c>
      <c r="T73" s="209">
        <f t="shared" si="9"/>
        <v>1</v>
      </c>
      <c r="U73" s="241">
        <f t="shared" si="10"/>
        <v>0</v>
      </c>
      <c r="V73" s="241">
        <f t="shared" si="11"/>
        <v>1</v>
      </c>
      <c r="W73" s="241">
        <f t="shared" si="12"/>
        <v>1</v>
      </c>
    </row>
    <row r="74" spans="1:23" ht="62.65" hidden="1" x14ac:dyDescent="0.2">
      <c r="A74" s="210" t="s">
        <v>1003</v>
      </c>
      <c r="B74" s="210" t="s">
        <v>208</v>
      </c>
      <c r="C74" s="210"/>
      <c r="D74" s="210"/>
      <c r="E74" s="217"/>
      <c r="F74" s="335">
        <v>8.8000000000000007</v>
      </c>
      <c r="G74" s="307">
        <v>5</v>
      </c>
      <c r="H74" s="306" t="s">
        <v>1004</v>
      </c>
      <c r="I74" s="413" t="s">
        <v>1005</v>
      </c>
      <c r="J74" s="264" t="s">
        <v>183</v>
      </c>
      <c r="K74" s="362" t="s">
        <v>1006</v>
      </c>
      <c r="L74" s="274"/>
      <c r="M74" s="216" t="str">
        <f t="shared" si="8"/>
        <v>N/A</v>
      </c>
      <c r="N74" s="210" t="s">
        <v>213</v>
      </c>
      <c r="O74" s="344" t="s">
        <v>214</v>
      </c>
      <c r="P74" s="344" t="s">
        <v>214</v>
      </c>
      <c r="Q74" s="344" t="s">
        <v>214</v>
      </c>
      <c r="R74" s="344" t="s">
        <v>214</v>
      </c>
      <c r="S74" s="344" t="s">
        <v>214</v>
      </c>
      <c r="T74" s="209">
        <f t="shared" si="9"/>
        <v>1</v>
      </c>
      <c r="U74" s="241">
        <f t="shared" si="10"/>
        <v>0</v>
      </c>
      <c r="V74" s="241">
        <f t="shared" si="11"/>
        <v>1</v>
      </c>
      <c r="W74" s="241">
        <f t="shared" si="12"/>
        <v>1</v>
      </c>
    </row>
    <row r="75" spans="1:23" ht="75.150000000000006" hidden="1" x14ac:dyDescent="0.2">
      <c r="A75" s="210" t="s">
        <v>1007</v>
      </c>
      <c r="B75" s="210" t="s">
        <v>208</v>
      </c>
      <c r="C75" s="210"/>
      <c r="D75" s="210"/>
      <c r="E75" s="217"/>
      <c r="F75" s="335">
        <v>8.8000000000000007</v>
      </c>
      <c r="G75" s="307">
        <v>6</v>
      </c>
      <c r="H75" s="306" t="s">
        <v>1008</v>
      </c>
      <c r="I75" s="413" t="s">
        <v>1009</v>
      </c>
      <c r="J75" s="210" t="s">
        <v>183</v>
      </c>
      <c r="K75" s="362" t="s">
        <v>1010</v>
      </c>
      <c r="L75" s="274"/>
      <c r="M75" s="216" t="str">
        <f t="shared" si="8"/>
        <v>N/A</v>
      </c>
      <c r="N75" s="210" t="s">
        <v>213</v>
      </c>
      <c r="O75" s="344" t="s">
        <v>214</v>
      </c>
      <c r="P75" s="344" t="s">
        <v>214</v>
      </c>
      <c r="Q75" s="344" t="s">
        <v>214</v>
      </c>
      <c r="R75" s="344" t="s">
        <v>214</v>
      </c>
      <c r="S75" s="344" t="s">
        <v>214</v>
      </c>
      <c r="T75" s="209">
        <f t="shared" si="9"/>
        <v>1</v>
      </c>
      <c r="U75" s="241">
        <f t="shared" si="10"/>
        <v>0</v>
      </c>
      <c r="V75" s="241">
        <f t="shared" si="11"/>
        <v>1</v>
      </c>
      <c r="W75" s="241">
        <f t="shared" si="12"/>
        <v>1</v>
      </c>
    </row>
    <row r="76" spans="1:23" s="287" customFormat="1" hidden="1" x14ac:dyDescent="0.2">
      <c r="A76" s="298"/>
      <c r="B76" s="298"/>
      <c r="C76" s="298"/>
      <c r="D76" s="298"/>
      <c r="E76" s="299"/>
      <c r="F76" s="300" t="s">
        <v>1011</v>
      </c>
      <c r="G76" s="415"/>
      <c r="H76" s="416"/>
      <c r="I76" s="298"/>
      <c r="J76" s="298"/>
      <c r="K76" s="411"/>
      <c r="L76" s="298"/>
      <c r="M76" s="298"/>
      <c r="N76" s="303"/>
      <c r="O76" s="303"/>
      <c r="P76" s="303"/>
      <c r="Q76" s="304"/>
      <c r="R76" s="417"/>
      <c r="S76" s="417"/>
      <c r="T76" s="209">
        <f t="shared" si="9"/>
        <v>1</v>
      </c>
      <c r="U76" s="241">
        <f t="shared" si="10"/>
        <v>0</v>
      </c>
      <c r="V76" s="241">
        <f t="shared" si="11"/>
        <v>1</v>
      </c>
      <c r="W76" s="241"/>
    </row>
    <row r="77" spans="1:23" ht="75.150000000000006" x14ac:dyDescent="0.2">
      <c r="A77" s="210" t="s">
        <v>1012</v>
      </c>
      <c r="B77" s="210" t="s">
        <v>208</v>
      </c>
      <c r="C77" s="210" t="s">
        <v>208</v>
      </c>
      <c r="D77" s="210" t="s">
        <v>208</v>
      </c>
      <c r="E77" s="217" t="s">
        <v>208</v>
      </c>
      <c r="F77" s="335">
        <v>8.9</v>
      </c>
      <c r="G77" s="307">
        <v>1</v>
      </c>
      <c r="H77" s="306" t="s">
        <v>1013</v>
      </c>
      <c r="I77" s="413" t="s">
        <v>1014</v>
      </c>
      <c r="J77" s="264" t="s">
        <v>183</v>
      </c>
      <c r="K77" s="344" t="s">
        <v>1015</v>
      </c>
      <c r="L77" s="274"/>
      <c r="M77" s="216" t="str">
        <f>IFERROR(IF(N77="Maturity",HLOOKUP(L77,$O$2:$S$201,ROW()-1,0),"N/A"),"")</f>
        <v>N/A</v>
      </c>
      <c r="N77" s="210" t="s">
        <v>213</v>
      </c>
      <c r="O77" s="400" t="s">
        <v>214</v>
      </c>
      <c r="P77" s="400" t="s">
        <v>214</v>
      </c>
      <c r="Q77" s="400" t="s">
        <v>214</v>
      </c>
      <c r="R77" s="400" t="s">
        <v>214</v>
      </c>
      <c r="S77" s="400" t="s">
        <v>214</v>
      </c>
      <c r="T77" s="209">
        <f t="shared" si="9"/>
        <v>1</v>
      </c>
      <c r="U77" s="241">
        <f t="shared" si="10"/>
        <v>0</v>
      </c>
      <c r="V77" s="241">
        <f t="shared" si="11"/>
        <v>1</v>
      </c>
      <c r="W77" s="241">
        <f t="shared" si="12"/>
        <v>1</v>
      </c>
    </row>
    <row r="78" spans="1:23" ht="25.05" x14ac:dyDescent="0.2">
      <c r="A78" s="210" t="s">
        <v>1016</v>
      </c>
      <c r="B78" s="210" t="s">
        <v>208</v>
      </c>
      <c r="C78" s="210" t="s">
        <v>208</v>
      </c>
      <c r="D78" s="210" t="s">
        <v>208</v>
      </c>
      <c r="E78" s="217" t="s">
        <v>208</v>
      </c>
      <c r="F78" s="335">
        <v>8.9</v>
      </c>
      <c r="G78" s="307">
        <v>2</v>
      </c>
      <c r="H78" s="306" t="s">
        <v>1017</v>
      </c>
      <c r="I78" s="413" t="s">
        <v>1018</v>
      </c>
      <c r="J78" s="264" t="s">
        <v>183</v>
      </c>
      <c r="K78" s="344" t="s">
        <v>1019</v>
      </c>
      <c r="L78" s="274"/>
      <c r="M78" s="216" t="str">
        <f>IFERROR(IF(N78="Maturity",HLOOKUP(L78,$O$2:$S$201,ROW()-1,0),"N/A"),"")</f>
        <v>N/A</v>
      </c>
      <c r="N78" s="210" t="s">
        <v>213</v>
      </c>
      <c r="O78" s="400" t="s">
        <v>214</v>
      </c>
      <c r="P78" s="400" t="s">
        <v>214</v>
      </c>
      <c r="Q78" s="400" t="s">
        <v>214</v>
      </c>
      <c r="R78" s="400" t="s">
        <v>214</v>
      </c>
      <c r="S78" s="400" t="s">
        <v>214</v>
      </c>
      <c r="T78" s="209">
        <f t="shared" si="9"/>
        <v>1</v>
      </c>
      <c r="U78" s="241">
        <f t="shared" si="10"/>
        <v>0</v>
      </c>
      <c r="V78" s="241">
        <f t="shared" si="11"/>
        <v>1</v>
      </c>
      <c r="W78" s="241">
        <f t="shared" si="12"/>
        <v>1</v>
      </c>
    </row>
    <row r="79" spans="1:23" ht="37.6" x14ac:dyDescent="0.2">
      <c r="A79" s="210" t="s">
        <v>1020</v>
      </c>
      <c r="B79" s="210" t="s">
        <v>208</v>
      </c>
      <c r="C79" s="210" t="s">
        <v>208</v>
      </c>
      <c r="D79" s="210" t="s">
        <v>208</v>
      </c>
      <c r="E79" s="217" t="s">
        <v>208</v>
      </c>
      <c r="F79" s="335">
        <v>8.9</v>
      </c>
      <c r="G79" s="307">
        <v>3</v>
      </c>
      <c r="H79" s="306" t="s">
        <v>1021</v>
      </c>
      <c r="I79" s="422" t="s">
        <v>1022</v>
      </c>
      <c r="J79" s="215" t="s">
        <v>183</v>
      </c>
      <c r="K79" s="216" t="s">
        <v>1023</v>
      </c>
      <c r="L79" s="274"/>
      <c r="M79" s="216" t="str">
        <f>IFERROR(IF(N79="Maturity",HLOOKUP(L79,$O$2:$S$201,ROW()-1,0),"N/A"),"")</f>
        <v>N/A</v>
      </c>
      <c r="N79" s="210" t="s">
        <v>213</v>
      </c>
      <c r="O79" s="344" t="s">
        <v>214</v>
      </c>
      <c r="P79" s="344" t="s">
        <v>214</v>
      </c>
      <c r="Q79" s="344" t="s">
        <v>214</v>
      </c>
      <c r="R79" s="344" t="s">
        <v>214</v>
      </c>
      <c r="S79" s="344" t="s">
        <v>214</v>
      </c>
      <c r="T79" s="209">
        <f t="shared" si="9"/>
        <v>1</v>
      </c>
      <c r="U79" s="241">
        <f t="shared" si="10"/>
        <v>0</v>
      </c>
      <c r="V79" s="241">
        <f t="shared" si="11"/>
        <v>1</v>
      </c>
      <c r="W79" s="241">
        <f t="shared" si="12"/>
        <v>1</v>
      </c>
    </row>
    <row r="80" spans="1:23" ht="50.1" x14ac:dyDescent="0.2">
      <c r="A80" s="210" t="s">
        <v>1024</v>
      </c>
      <c r="B80" s="210" t="s">
        <v>208</v>
      </c>
      <c r="C80" s="210" t="s">
        <v>208</v>
      </c>
      <c r="D80" s="210" t="s">
        <v>208</v>
      </c>
      <c r="E80" s="217" t="s">
        <v>208</v>
      </c>
      <c r="F80" s="335">
        <v>8.9</v>
      </c>
      <c r="G80" s="307">
        <v>3</v>
      </c>
      <c r="H80" s="306" t="s">
        <v>1021</v>
      </c>
      <c r="I80" s="422" t="s">
        <v>1025</v>
      </c>
      <c r="J80" s="239" t="s">
        <v>183</v>
      </c>
      <c r="K80" s="216" t="s">
        <v>1026</v>
      </c>
      <c r="L80" s="274"/>
      <c r="M80" s="216" t="str">
        <f>IFERROR(IF(N80="Maturity",HLOOKUP(L80,$O$2:$S$201,ROW()-1,0),"N/A"),"")</f>
        <v>N/A</v>
      </c>
      <c r="N80" s="210" t="s">
        <v>213</v>
      </c>
      <c r="O80" s="400" t="s">
        <v>214</v>
      </c>
      <c r="P80" s="400" t="s">
        <v>214</v>
      </c>
      <c r="Q80" s="400" t="s">
        <v>214</v>
      </c>
      <c r="R80" s="400" t="s">
        <v>214</v>
      </c>
      <c r="S80" s="400" t="s">
        <v>214</v>
      </c>
      <c r="T80" s="209">
        <f t="shared" si="9"/>
        <v>1</v>
      </c>
      <c r="U80" s="241">
        <f t="shared" si="10"/>
        <v>0</v>
      </c>
      <c r="V80" s="241">
        <f t="shared" si="11"/>
        <v>1</v>
      </c>
      <c r="W80" s="241">
        <f t="shared" si="12"/>
        <v>1</v>
      </c>
    </row>
    <row r="81" spans="1:23" s="287" customFormat="1" hidden="1" x14ac:dyDescent="0.2">
      <c r="A81" s="298"/>
      <c r="B81" s="298"/>
      <c r="C81" s="298"/>
      <c r="D81" s="298"/>
      <c r="E81" s="299"/>
      <c r="F81" s="300" t="s">
        <v>1027</v>
      </c>
      <c r="G81" s="415"/>
      <c r="H81" s="416"/>
      <c r="I81" s="298"/>
      <c r="J81" s="298"/>
      <c r="K81" s="411"/>
      <c r="L81" s="298"/>
      <c r="M81" s="298"/>
      <c r="N81" s="303"/>
      <c r="O81" s="303"/>
      <c r="P81" s="303"/>
      <c r="Q81" s="304"/>
      <c r="R81" s="417"/>
      <c r="S81" s="417"/>
      <c r="T81" s="209">
        <f t="shared" si="9"/>
        <v>1</v>
      </c>
      <c r="U81" s="241">
        <f t="shared" si="10"/>
        <v>0</v>
      </c>
      <c r="V81" s="241">
        <f t="shared" si="11"/>
        <v>1</v>
      </c>
      <c r="W81" s="241"/>
    </row>
    <row r="82" spans="1:23" ht="187.85" x14ac:dyDescent="0.2">
      <c r="A82" s="210" t="s">
        <v>1028</v>
      </c>
      <c r="B82" s="210" t="s">
        <v>208</v>
      </c>
      <c r="C82" s="210" t="s">
        <v>208</v>
      </c>
      <c r="D82" s="210" t="s">
        <v>208</v>
      </c>
      <c r="E82" s="217" t="s">
        <v>208</v>
      </c>
      <c r="F82" s="335" t="s">
        <v>1029</v>
      </c>
      <c r="G82" s="307">
        <v>1</v>
      </c>
      <c r="H82" s="306" t="s">
        <v>1030</v>
      </c>
      <c r="I82" s="366" t="s">
        <v>1031</v>
      </c>
      <c r="J82" s="239" t="s">
        <v>183</v>
      </c>
      <c r="K82" s="216" t="s">
        <v>1032</v>
      </c>
      <c r="L82" s="274"/>
      <c r="M82" s="216" t="str">
        <f t="shared" ref="M82:M90" si="13">IFERROR(IF(N82="Maturity",HLOOKUP(L82,$O$2:$S$201,ROW()-1,0),"N/A"),"")</f>
        <v>N/A</v>
      </c>
      <c r="N82" s="210" t="s">
        <v>213</v>
      </c>
      <c r="O82" s="400" t="s">
        <v>214</v>
      </c>
      <c r="P82" s="400" t="s">
        <v>214</v>
      </c>
      <c r="Q82" s="400" t="s">
        <v>214</v>
      </c>
      <c r="R82" s="400" t="s">
        <v>214</v>
      </c>
      <c r="S82" s="400" t="s">
        <v>214</v>
      </c>
      <c r="T82" s="209">
        <f t="shared" si="9"/>
        <v>1</v>
      </c>
      <c r="U82" s="241">
        <f t="shared" si="10"/>
        <v>0</v>
      </c>
      <c r="V82" s="241">
        <f t="shared" si="11"/>
        <v>1</v>
      </c>
      <c r="W82" s="241">
        <f t="shared" si="12"/>
        <v>1</v>
      </c>
    </row>
    <row r="83" spans="1:23" ht="25.05" x14ac:dyDescent="0.2">
      <c r="A83" s="210" t="s">
        <v>1033</v>
      </c>
      <c r="B83" s="210" t="s">
        <v>208</v>
      </c>
      <c r="C83" s="210" t="s">
        <v>208</v>
      </c>
      <c r="D83" s="210" t="s">
        <v>208</v>
      </c>
      <c r="E83" s="217" t="s">
        <v>208</v>
      </c>
      <c r="F83" s="335" t="s">
        <v>1029</v>
      </c>
      <c r="G83" s="307">
        <v>2</v>
      </c>
      <c r="H83" s="306" t="s">
        <v>1034</v>
      </c>
      <c r="I83" s="413" t="s">
        <v>1035</v>
      </c>
      <c r="J83" s="210" t="s">
        <v>183</v>
      </c>
      <c r="K83" s="344" t="s">
        <v>1036</v>
      </c>
      <c r="L83" s="274"/>
      <c r="M83" s="216" t="str">
        <f t="shared" si="13"/>
        <v>N/A</v>
      </c>
      <c r="N83" s="210" t="s">
        <v>213</v>
      </c>
      <c r="O83" s="344" t="s">
        <v>214</v>
      </c>
      <c r="P83" s="344" t="s">
        <v>214</v>
      </c>
      <c r="Q83" s="344" t="s">
        <v>214</v>
      </c>
      <c r="R83" s="344" t="s">
        <v>214</v>
      </c>
      <c r="S83" s="344" t="s">
        <v>214</v>
      </c>
      <c r="T83" s="209">
        <f t="shared" si="9"/>
        <v>1</v>
      </c>
      <c r="U83" s="241">
        <f t="shared" si="10"/>
        <v>0</v>
      </c>
      <c r="V83" s="241">
        <f t="shared" si="11"/>
        <v>1</v>
      </c>
      <c r="W83" s="241">
        <f t="shared" si="12"/>
        <v>1</v>
      </c>
    </row>
    <row r="84" spans="1:23" ht="50.1" x14ac:dyDescent="0.2">
      <c r="A84" s="210" t="s">
        <v>1037</v>
      </c>
      <c r="B84" s="210" t="s">
        <v>208</v>
      </c>
      <c r="C84" s="210" t="s">
        <v>208</v>
      </c>
      <c r="D84" s="210" t="s">
        <v>208</v>
      </c>
      <c r="E84" s="217" t="s">
        <v>208</v>
      </c>
      <c r="F84" s="335" t="s">
        <v>1029</v>
      </c>
      <c r="G84" s="307">
        <v>3</v>
      </c>
      <c r="H84" s="306" t="s">
        <v>1038</v>
      </c>
      <c r="I84" s="366" t="s">
        <v>1039</v>
      </c>
      <c r="J84" s="239" t="s">
        <v>183</v>
      </c>
      <c r="K84" s="216" t="s">
        <v>1040</v>
      </c>
      <c r="L84" s="274"/>
      <c r="M84" s="216" t="str">
        <f t="shared" si="13"/>
        <v>N/A</v>
      </c>
      <c r="N84" s="210" t="s">
        <v>213</v>
      </c>
      <c r="O84" s="400" t="s">
        <v>214</v>
      </c>
      <c r="P84" s="400" t="s">
        <v>214</v>
      </c>
      <c r="Q84" s="400" t="s">
        <v>214</v>
      </c>
      <c r="R84" s="400" t="s">
        <v>214</v>
      </c>
      <c r="S84" s="400" t="s">
        <v>214</v>
      </c>
      <c r="T84" s="209">
        <f t="shared" si="9"/>
        <v>1</v>
      </c>
      <c r="U84" s="241">
        <f t="shared" si="10"/>
        <v>0</v>
      </c>
      <c r="V84" s="241">
        <f t="shared" si="11"/>
        <v>1</v>
      </c>
      <c r="W84" s="241">
        <f t="shared" si="12"/>
        <v>1</v>
      </c>
    </row>
    <row r="85" spans="1:23" ht="75.150000000000006" x14ac:dyDescent="0.2">
      <c r="A85" s="210" t="s">
        <v>1041</v>
      </c>
      <c r="B85" s="210" t="s">
        <v>208</v>
      </c>
      <c r="C85" s="210" t="s">
        <v>208</v>
      </c>
      <c r="D85" s="210" t="s">
        <v>208</v>
      </c>
      <c r="E85" s="217" t="s">
        <v>208</v>
      </c>
      <c r="F85" s="335" t="s">
        <v>1029</v>
      </c>
      <c r="G85" s="307">
        <v>3</v>
      </c>
      <c r="H85" s="306" t="s">
        <v>1038</v>
      </c>
      <c r="I85" s="366" t="s">
        <v>1025</v>
      </c>
      <c r="J85" s="239" t="s">
        <v>183</v>
      </c>
      <c r="K85" s="216" t="s">
        <v>1042</v>
      </c>
      <c r="L85" s="274"/>
      <c r="M85" s="216" t="str">
        <f t="shared" si="13"/>
        <v>N/A</v>
      </c>
      <c r="N85" s="210" t="s">
        <v>213</v>
      </c>
      <c r="O85" s="400" t="s">
        <v>214</v>
      </c>
      <c r="P85" s="400" t="s">
        <v>214</v>
      </c>
      <c r="Q85" s="400" t="s">
        <v>214</v>
      </c>
      <c r="R85" s="400" t="s">
        <v>214</v>
      </c>
      <c r="S85" s="400" t="s">
        <v>214</v>
      </c>
      <c r="T85" s="209">
        <f t="shared" si="9"/>
        <v>1</v>
      </c>
      <c r="U85" s="241">
        <f t="shared" si="10"/>
        <v>0</v>
      </c>
      <c r="V85" s="241">
        <f t="shared" si="11"/>
        <v>1</v>
      </c>
      <c r="W85" s="241">
        <f t="shared" si="12"/>
        <v>1</v>
      </c>
    </row>
    <row r="86" spans="1:23" ht="50.1" x14ac:dyDescent="0.2">
      <c r="A86" s="210" t="s">
        <v>1043</v>
      </c>
      <c r="B86" s="210" t="s">
        <v>208</v>
      </c>
      <c r="C86" s="210" t="s">
        <v>208</v>
      </c>
      <c r="D86" s="210" t="s">
        <v>208</v>
      </c>
      <c r="E86" s="217" t="s">
        <v>208</v>
      </c>
      <c r="F86" s="335" t="s">
        <v>1029</v>
      </c>
      <c r="G86" s="307">
        <v>4</v>
      </c>
      <c r="H86" s="306" t="s">
        <v>1044</v>
      </c>
      <c r="I86" s="366" t="s">
        <v>1045</v>
      </c>
      <c r="J86" s="239" t="s">
        <v>183</v>
      </c>
      <c r="K86" s="216" t="s">
        <v>1046</v>
      </c>
      <c r="L86" s="274"/>
      <c r="M86" s="216" t="str">
        <f t="shared" si="13"/>
        <v>N/A</v>
      </c>
      <c r="N86" s="210" t="s">
        <v>213</v>
      </c>
      <c r="O86" s="400" t="s">
        <v>214</v>
      </c>
      <c r="P86" s="400" t="s">
        <v>214</v>
      </c>
      <c r="Q86" s="400" t="s">
        <v>214</v>
      </c>
      <c r="R86" s="400" t="s">
        <v>214</v>
      </c>
      <c r="S86" s="400" t="s">
        <v>214</v>
      </c>
      <c r="T86" s="209">
        <f t="shared" si="9"/>
        <v>1</v>
      </c>
      <c r="U86" s="241">
        <f t="shared" si="10"/>
        <v>0</v>
      </c>
      <c r="V86" s="241">
        <f t="shared" si="11"/>
        <v>1</v>
      </c>
      <c r="W86" s="241">
        <f t="shared" si="12"/>
        <v>1</v>
      </c>
    </row>
    <row r="87" spans="1:23" ht="44.45" customHeight="1" x14ac:dyDescent="0.2">
      <c r="A87" s="210" t="s">
        <v>1047</v>
      </c>
      <c r="B87" s="210" t="s">
        <v>208</v>
      </c>
      <c r="C87" s="210" t="s">
        <v>208</v>
      </c>
      <c r="D87" s="210" t="s">
        <v>208</v>
      </c>
      <c r="E87" s="217" t="s">
        <v>208</v>
      </c>
      <c r="F87" s="335" t="s">
        <v>1048</v>
      </c>
      <c r="G87" s="307">
        <v>1</v>
      </c>
      <c r="H87" s="306" t="s">
        <v>1049</v>
      </c>
      <c r="I87" s="413" t="s">
        <v>1050</v>
      </c>
      <c r="J87" s="264" t="s">
        <v>183</v>
      </c>
      <c r="K87" s="344" t="s">
        <v>1051</v>
      </c>
      <c r="L87" s="274"/>
      <c r="M87" s="216" t="str">
        <f t="shared" si="13"/>
        <v>N/A</v>
      </c>
      <c r="N87" s="210" t="s">
        <v>213</v>
      </c>
      <c r="O87" s="400" t="s">
        <v>214</v>
      </c>
      <c r="P87" s="400" t="s">
        <v>214</v>
      </c>
      <c r="Q87" s="400" t="s">
        <v>214</v>
      </c>
      <c r="R87" s="400" t="s">
        <v>214</v>
      </c>
      <c r="S87" s="400" t="s">
        <v>214</v>
      </c>
      <c r="T87" s="209">
        <f t="shared" si="9"/>
        <v>1</v>
      </c>
      <c r="U87" s="241">
        <f t="shared" si="10"/>
        <v>0</v>
      </c>
      <c r="V87" s="241">
        <f t="shared" si="11"/>
        <v>1</v>
      </c>
      <c r="W87" s="241">
        <f t="shared" si="12"/>
        <v>1</v>
      </c>
    </row>
    <row r="88" spans="1:23" ht="137.75" hidden="1" x14ac:dyDescent="0.2">
      <c r="A88" s="210" t="s">
        <v>1052</v>
      </c>
      <c r="B88" s="210" t="s">
        <v>208</v>
      </c>
      <c r="C88" s="344"/>
      <c r="D88" s="344"/>
      <c r="E88" s="217"/>
      <c r="F88" s="335" t="s">
        <v>1048</v>
      </c>
      <c r="G88" s="307">
        <v>2</v>
      </c>
      <c r="H88" s="306" t="s">
        <v>1053</v>
      </c>
      <c r="I88" s="413" t="s">
        <v>1054</v>
      </c>
      <c r="J88" s="264" t="s">
        <v>183</v>
      </c>
      <c r="K88" s="344" t="s">
        <v>1055</v>
      </c>
      <c r="L88" s="274"/>
      <c r="M88" s="216" t="str">
        <f t="shared" si="13"/>
        <v>N/A</v>
      </c>
      <c r="N88" s="210" t="s">
        <v>213</v>
      </c>
      <c r="O88" s="344" t="s">
        <v>214</v>
      </c>
      <c r="P88" s="344" t="s">
        <v>214</v>
      </c>
      <c r="Q88" s="344" t="s">
        <v>214</v>
      </c>
      <c r="R88" s="344" t="s">
        <v>214</v>
      </c>
      <c r="S88" s="344" t="s">
        <v>214</v>
      </c>
      <c r="T88" s="209">
        <f t="shared" si="9"/>
        <v>1</v>
      </c>
      <c r="U88" s="241">
        <f t="shared" si="10"/>
        <v>0</v>
      </c>
      <c r="V88" s="241">
        <f t="shared" si="11"/>
        <v>1</v>
      </c>
      <c r="W88" s="241">
        <f t="shared" ref="W88:W96" si="14">IF(ISBLANK(L88),1,0)</f>
        <v>1</v>
      </c>
    </row>
    <row r="89" spans="1:23" ht="37.6" x14ac:dyDescent="0.2">
      <c r="A89" s="210" t="s">
        <v>1056</v>
      </c>
      <c r="B89" s="210" t="s">
        <v>208</v>
      </c>
      <c r="C89" s="210" t="s">
        <v>208</v>
      </c>
      <c r="D89" s="210" t="s">
        <v>208</v>
      </c>
      <c r="E89" s="217" t="s">
        <v>208</v>
      </c>
      <c r="F89" s="335" t="s">
        <v>1057</v>
      </c>
      <c r="G89" s="307"/>
      <c r="H89" s="306" t="s">
        <v>1057</v>
      </c>
      <c r="I89" s="413" t="s">
        <v>1058</v>
      </c>
      <c r="J89" s="210" t="s">
        <v>183</v>
      </c>
      <c r="K89" s="344" t="s">
        <v>1059</v>
      </c>
      <c r="L89" s="274"/>
      <c r="M89" s="216" t="str">
        <f t="shared" si="13"/>
        <v>N/A</v>
      </c>
      <c r="N89" s="210" t="s">
        <v>213</v>
      </c>
      <c r="O89" s="344" t="s">
        <v>214</v>
      </c>
      <c r="P89" s="344" t="s">
        <v>214</v>
      </c>
      <c r="Q89" s="344" t="s">
        <v>214</v>
      </c>
      <c r="R89" s="344" t="s">
        <v>214</v>
      </c>
      <c r="S89" s="344" t="s">
        <v>214</v>
      </c>
      <c r="T89" s="209">
        <f t="shared" si="9"/>
        <v>1</v>
      </c>
      <c r="U89" s="241">
        <f t="shared" si="10"/>
        <v>0</v>
      </c>
      <c r="V89" s="241">
        <f t="shared" si="11"/>
        <v>1</v>
      </c>
      <c r="W89" s="241">
        <f t="shared" si="14"/>
        <v>1</v>
      </c>
    </row>
    <row r="90" spans="1:23" ht="87.65" x14ac:dyDescent="0.2">
      <c r="A90" s="210" t="s">
        <v>1060</v>
      </c>
      <c r="B90" s="210" t="s">
        <v>208</v>
      </c>
      <c r="C90" s="210" t="s">
        <v>208</v>
      </c>
      <c r="D90" s="210" t="s">
        <v>208</v>
      </c>
      <c r="E90" s="217" t="s">
        <v>208</v>
      </c>
      <c r="F90" s="335" t="s">
        <v>1061</v>
      </c>
      <c r="G90" s="307">
        <v>1</v>
      </c>
      <c r="H90" s="306" t="s">
        <v>1062</v>
      </c>
      <c r="I90" s="413" t="s">
        <v>1063</v>
      </c>
      <c r="J90" s="264" t="s">
        <v>183</v>
      </c>
      <c r="K90" s="344" t="s">
        <v>1064</v>
      </c>
      <c r="L90" s="274"/>
      <c r="M90" s="216" t="str">
        <f t="shared" si="13"/>
        <v>N/A</v>
      </c>
      <c r="N90" s="210" t="s">
        <v>213</v>
      </c>
      <c r="O90" s="400" t="s">
        <v>214</v>
      </c>
      <c r="P90" s="400" t="s">
        <v>214</v>
      </c>
      <c r="Q90" s="400" t="s">
        <v>214</v>
      </c>
      <c r="R90" s="400" t="s">
        <v>214</v>
      </c>
      <c r="S90" s="400" t="s">
        <v>214</v>
      </c>
      <c r="T90" s="209">
        <f t="shared" si="9"/>
        <v>1</v>
      </c>
      <c r="U90" s="241">
        <f t="shared" si="10"/>
        <v>0</v>
      </c>
      <c r="V90" s="241">
        <f t="shared" si="11"/>
        <v>1</v>
      </c>
      <c r="W90" s="241">
        <f t="shared" si="14"/>
        <v>1</v>
      </c>
    </row>
    <row r="91" spans="1:23" ht="32.9" customHeight="1" x14ac:dyDescent="0.2">
      <c r="A91" s="210" t="s">
        <v>1065</v>
      </c>
      <c r="B91" s="210" t="s">
        <v>208</v>
      </c>
      <c r="C91" s="210" t="s">
        <v>208</v>
      </c>
      <c r="D91" s="210" t="s">
        <v>208</v>
      </c>
      <c r="E91" s="217" t="s">
        <v>208</v>
      </c>
      <c r="F91" s="335" t="s">
        <v>1066</v>
      </c>
      <c r="G91" s="307"/>
      <c r="H91" s="306" t="s">
        <v>1066</v>
      </c>
      <c r="I91" s="413" t="s">
        <v>1067</v>
      </c>
      <c r="J91" s="223"/>
      <c r="K91" s="423"/>
      <c r="L91" s="225" t="s">
        <v>214</v>
      </c>
      <c r="M91" s="225"/>
      <c r="N91" s="225"/>
      <c r="O91" s="230"/>
      <c r="P91" s="230"/>
      <c r="Q91" s="230"/>
      <c r="R91" s="424"/>
      <c r="S91" s="425"/>
      <c r="T91" s="209">
        <f t="shared" si="9"/>
        <v>0</v>
      </c>
      <c r="U91" s="241">
        <f t="shared" si="10"/>
        <v>0</v>
      </c>
      <c r="V91" s="241">
        <f t="shared" si="11"/>
        <v>0</v>
      </c>
      <c r="W91" s="241">
        <f t="shared" si="14"/>
        <v>0</v>
      </c>
    </row>
    <row r="92" spans="1:23" s="287" customFormat="1" hidden="1" x14ac:dyDescent="0.2">
      <c r="A92" s="298"/>
      <c r="B92" s="298"/>
      <c r="C92" s="298"/>
      <c r="D92" s="298"/>
      <c r="E92" s="299"/>
      <c r="F92" s="300" t="s">
        <v>1068</v>
      </c>
      <c r="G92" s="415"/>
      <c r="H92" s="416"/>
      <c r="I92" s="298"/>
      <c r="J92" s="298"/>
      <c r="K92" s="411"/>
      <c r="L92" s="298"/>
      <c r="M92" s="298"/>
      <c r="N92" s="303"/>
      <c r="O92" s="303"/>
      <c r="P92" s="303"/>
      <c r="Q92" s="304"/>
      <c r="R92" s="417"/>
      <c r="S92" s="417"/>
      <c r="T92" s="209">
        <f t="shared" si="9"/>
        <v>1</v>
      </c>
      <c r="U92" s="241">
        <f t="shared" si="10"/>
        <v>0</v>
      </c>
      <c r="V92" s="241">
        <f t="shared" si="11"/>
        <v>1</v>
      </c>
      <c r="W92" s="241"/>
    </row>
    <row r="93" spans="1:23" ht="121.5" customHeight="1" x14ac:dyDescent="0.2">
      <c r="A93" s="210" t="s">
        <v>1069</v>
      </c>
      <c r="B93" s="210" t="s">
        <v>208</v>
      </c>
      <c r="C93" s="210" t="s">
        <v>208</v>
      </c>
      <c r="D93" s="210" t="s">
        <v>208</v>
      </c>
      <c r="E93" s="217" t="s">
        <v>208</v>
      </c>
      <c r="F93" s="335" t="s">
        <v>1070</v>
      </c>
      <c r="G93" s="307">
        <v>1</v>
      </c>
      <c r="H93" s="306" t="s">
        <v>1071</v>
      </c>
      <c r="I93" s="413" t="s">
        <v>1072</v>
      </c>
      <c r="J93" s="210" t="s">
        <v>183</v>
      </c>
      <c r="K93" s="344" t="s">
        <v>1073</v>
      </c>
      <c r="L93" s="274"/>
      <c r="M93" s="216" t="str">
        <f>IFERROR(IF(N79="Maturity",HLOOKUP(L79,$O$2:$S$201,ROW()-1,0),"N/A"),"")</f>
        <v>N/A</v>
      </c>
      <c r="N93" s="210" t="s">
        <v>213</v>
      </c>
      <c r="O93" s="344" t="s">
        <v>214</v>
      </c>
      <c r="P93" s="344" t="s">
        <v>214</v>
      </c>
      <c r="Q93" s="344" t="s">
        <v>214</v>
      </c>
      <c r="R93" s="344" t="s">
        <v>214</v>
      </c>
      <c r="S93" s="344" t="s">
        <v>214</v>
      </c>
      <c r="T93" s="209">
        <f t="shared" si="9"/>
        <v>1</v>
      </c>
      <c r="U93" s="241">
        <f t="shared" si="10"/>
        <v>0</v>
      </c>
      <c r="V93" s="241">
        <f t="shared" si="11"/>
        <v>1</v>
      </c>
      <c r="W93" s="241">
        <f t="shared" si="14"/>
        <v>1</v>
      </c>
    </row>
    <row r="94" spans="1:23" ht="97.2" customHeight="1" x14ac:dyDescent="0.2">
      <c r="A94" s="210" t="s">
        <v>1074</v>
      </c>
      <c r="B94" s="210" t="s">
        <v>208</v>
      </c>
      <c r="C94" s="210" t="s">
        <v>208</v>
      </c>
      <c r="D94" s="210" t="s">
        <v>208</v>
      </c>
      <c r="E94" s="217" t="s">
        <v>208</v>
      </c>
      <c r="F94" s="335" t="s">
        <v>1070</v>
      </c>
      <c r="G94" s="307">
        <v>2</v>
      </c>
      <c r="H94" s="306" t="s">
        <v>1075</v>
      </c>
      <c r="I94" s="413" t="s">
        <v>1076</v>
      </c>
      <c r="J94" s="210" t="s">
        <v>183</v>
      </c>
      <c r="K94" s="344" t="s">
        <v>1077</v>
      </c>
      <c r="L94" s="274"/>
      <c r="M94" s="216" t="str">
        <f>IFERROR(IF(N80="Maturity",HLOOKUP(L80,$O$2:$S$201,ROW()-1,0),"N/A"),"")</f>
        <v>N/A</v>
      </c>
      <c r="N94" s="210" t="s">
        <v>213</v>
      </c>
      <c r="O94" s="344" t="s">
        <v>214</v>
      </c>
      <c r="P94" s="344" t="s">
        <v>214</v>
      </c>
      <c r="Q94" s="344" t="s">
        <v>214</v>
      </c>
      <c r="R94" s="344" t="s">
        <v>214</v>
      </c>
      <c r="S94" s="344" t="s">
        <v>214</v>
      </c>
      <c r="T94" s="209">
        <f t="shared" si="9"/>
        <v>1</v>
      </c>
      <c r="U94" s="241">
        <f t="shared" si="10"/>
        <v>0</v>
      </c>
      <c r="V94" s="241">
        <f t="shared" si="11"/>
        <v>1</v>
      </c>
      <c r="W94" s="241">
        <f t="shared" si="14"/>
        <v>1</v>
      </c>
    </row>
    <row r="95" spans="1:23" ht="70.75" customHeight="1" x14ac:dyDescent="0.2">
      <c r="A95" s="210" t="s">
        <v>1078</v>
      </c>
      <c r="B95" s="361" t="s">
        <v>208</v>
      </c>
      <c r="C95" s="361" t="s">
        <v>208</v>
      </c>
      <c r="D95" s="361" t="s">
        <v>208</v>
      </c>
      <c r="E95" s="262" t="s">
        <v>208</v>
      </c>
      <c r="F95" s="335" t="s">
        <v>1070</v>
      </c>
      <c r="G95" s="307">
        <v>3</v>
      </c>
      <c r="H95" s="306" t="s">
        <v>1079</v>
      </c>
      <c r="I95" s="426" t="s">
        <v>1080</v>
      </c>
      <c r="J95" s="398" t="s">
        <v>183</v>
      </c>
      <c r="K95" s="240" t="s">
        <v>1081</v>
      </c>
      <c r="L95" s="274"/>
      <c r="M95" s="216" t="str">
        <f>IFERROR(IF(N81="Maturity",HLOOKUP(L81,$O$2:$S$201,ROW()-1,0),"N/A"),"")</f>
        <v>N/A</v>
      </c>
      <c r="N95" s="361" t="s">
        <v>213</v>
      </c>
      <c r="O95" s="379" t="s">
        <v>214</v>
      </c>
      <c r="P95" s="379" t="s">
        <v>214</v>
      </c>
      <c r="Q95" s="379" t="s">
        <v>214</v>
      </c>
      <c r="R95" s="379" t="s">
        <v>214</v>
      </c>
      <c r="S95" s="379" t="s">
        <v>214</v>
      </c>
      <c r="T95" s="209">
        <f t="shared" si="9"/>
        <v>1</v>
      </c>
      <c r="U95" s="241">
        <f t="shared" si="10"/>
        <v>0</v>
      </c>
      <c r="V95" s="241">
        <f t="shared" si="11"/>
        <v>1</v>
      </c>
      <c r="W95" s="241">
        <f t="shared" si="14"/>
        <v>1</v>
      </c>
    </row>
    <row r="96" spans="1:23" ht="62.65" hidden="1" x14ac:dyDescent="0.2">
      <c r="A96" s="210" t="s">
        <v>1082</v>
      </c>
      <c r="B96" s="210" t="s">
        <v>208</v>
      </c>
      <c r="C96" s="210"/>
      <c r="D96" s="210"/>
      <c r="E96" s="217"/>
      <c r="F96" s="335" t="s">
        <v>1070</v>
      </c>
      <c r="G96" s="307">
        <v>4</v>
      </c>
      <c r="H96" s="306" t="s">
        <v>1083</v>
      </c>
      <c r="I96" s="413" t="s">
        <v>1084</v>
      </c>
      <c r="J96" s="210" t="s">
        <v>183</v>
      </c>
      <c r="K96" s="344" t="s">
        <v>1085</v>
      </c>
      <c r="L96" s="274"/>
      <c r="M96" s="216" t="str">
        <f>IFERROR(IF(N82="Maturity",HLOOKUP(L82,$O$2:$S$201,ROW()-1,0),"N/A"),"")</f>
        <v>N/A</v>
      </c>
      <c r="N96" s="210" t="s">
        <v>213</v>
      </c>
      <c r="O96" s="344" t="s">
        <v>214</v>
      </c>
      <c r="P96" s="344" t="s">
        <v>214</v>
      </c>
      <c r="Q96" s="344" t="s">
        <v>214</v>
      </c>
      <c r="R96" s="344" t="s">
        <v>214</v>
      </c>
      <c r="S96" s="344" t="s">
        <v>214</v>
      </c>
      <c r="T96" s="209">
        <f>IF(OR(L96="Yes",L96="M3",L96="M4",L96="M5"),3,IF(OR(L96="Partial",L96="M2"),2,IF(L96="N/A",0,1)))</f>
        <v>1</v>
      </c>
      <c r="U96" s="241">
        <f t="shared" si="10"/>
        <v>0</v>
      </c>
      <c r="V96" s="241">
        <f t="shared" si="11"/>
        <v>1</v>
      </c>
      <c r="W96" s="241">
        <f t="shared" si="14"/>
        <v>1</v>
      </c>
    </row>
    <row r="97" spans="12:25" hidden="1" x14ac:dyDescent="0.2">
      <c r="W97" s="241">
        <f>SUM(W5:W96)</f>
        <v>81</v>
      </c>
      <c r="Y97" s="241">
        <f>COUNTIF(N5:N96,"Maturity")</f>
        <v>2</v>
      </c>
    </row>
    <row r="98" spans="12:25" ht="14.4" hidden="1" customHeight="1" x14ac:dyDescent="0.2">
      <c r="L98" s="271" t="s">
        <v>364</v>
      </c>
      <c r="M98" s="731" t="str">
        <f>IF(W97&gt;0,"โปรดระวัง ท่านยังไม่ได้บันทึกผลการประเมินในข้อดังนี้","ตอบแบบประเมินครบถ้วน")</f>
        <v>โปรดระวัง ท่านยังไม่ได้บันทึกผลการประเมินในข้อดังนี้</v>
      </c>
      <c r="N98" s="731"/>
    </row>
    <row r="99" spans="12:25" ht="134.15" hidden="1" customHeight="1" x14ac:dyDescent="0.2">
      <c r="M99" s="730" t="str">
        <f>IF(ISBLANK(L5),_xlfn.CONCAT(A5," , "),"")&amp; IF(ISBLANK(L6),_xlfn.CONCAT(A6," , "),"")&amp; IF(ISBLANK(L7),_xlfn.CONCAT(A7," , "),"")&amp; IF(ISBLANK(L8),_xlfn.CONCAT(A8," , "),"")&amp;
IF(ISBLANK(L10),_xlfn.CONCAT(A10," , "),"")&amp; IF(ISBLANK(L11),_xlfn.CONCAT(A11," , "),"")&amp; IF(ISBLANK(L12),_xlfn.CONCAT(A12," , "),"")&amp; IF(ISBLANK(L13),_xlfn.CONCAT(A13," , "),"")&amp;
IF(ISBLANK(L14),_xlfn.CONCAT(A14," , "),"")&amp;
IF(ISBLANK(L15),_xlfn.CONCAT(A15," , "),"")&amp;  IF(ISBLANK(L16),_xlfn.CONCAT(A16," , "),"")&amp; IF(ISBLANK(L17),_xlfn.CONCAT(A17," , "),"")&amp;
IF(ISBLANK(L18),_xlfn.CONCAT(A18," , "),"")&amp; IF(ISBLANK(L19),_xlfn.CONCAT(A19," , "),"")&amp;
IF(ISBLANK(L21),_xlfn.CONCAT(A21," , "),"")&amp; IF(ISBLANK(L22),_xlfn.CONCAT(A22," , "),"")&amp; IF(ISBLANK(L23),_xlfn.CONCAT(A23," , "),"")&amp; IF(ISBLANK(L24),_xlfn.CONCAT(A24," , "),"")&amp;
IF(ISBLANK(L26),_xlfn.CONCAT(A26," , "),"")&amp; IF(ISBLANK(L27),_xlfn.CONCAT(A27," , "),"")&amp; IF(ISBLANK(L28),_xlfn.CONCAT(A28," , "),"")&amp; IF(ISBLANK(L29),_xlfn.CONCAT(A29," , "),"")&amp; IF(ISBLANK(L30),_xlfn.CONCAT(A30," , "),"")&amp; IF(ISBLANK(L31),_xlfn.CONCAT(A31," , "),"")&amp; IF(ISBLANK(L32),_xlfn.CONCAT(A32," , "),"")&amp; IF(ISBLANK(L33),_xlfn.CONCAT(A33," , "),"")&amp;
 IF(ISBLANK(L35),_xlfn.CONCAT(A35," , "),"")&amp; IF(ISBLANK(L36),_xlfn.CONCAT(A36," , "),"")&amp;
IF(ISBLANK(L37),_xlfn.CONCAT(A37," , "),"")&amp; IF(ISBLANK(L38),_xlfn.CONCAT(A38," , "),"")&amp; IF(ISBLANK(L39),_xlfn.CONCAT(A39," , "),"")&amp;
IF(ISBLANK(L40),_xlfn.CONCAT(A40," , "),"")&amp;
IF(ISBLANK(L41),_xlfn.CONCAT(A41," , "),"")&amp;
IF(ISBLANK(L42),_xlfn.CONCAT(A42," , "),"")&amp;
IF(ISBLANK(L43),_xlfn.CONCAT(A43," , "),"")&amp;
IF(ISBLANK(L44),_xlfn.CONCAT(A44," , "),"")&amp;
IF(ISBLANK(L45),_xlfn.CONCAT(A45," , "),"")&amp;
IF(ISBLANK(L46),_xlfn.CONCAT(A46," , "),"")&amp;
IF(ISBLANK(L47),_xlfn.CONCAT(A47," , "),"")&amp;
IF(ISBLANK(L48),_xlfn.CONCAT(A48," , "),"")&amp;
IF(ISBLANK(L49),_xlfn.CONCAT(A49," , "),"")&amp;
IF(ISBLANK(L51),_xlfn.CONCAT(A51," , "),"")&amp;
IF(ISBLANK(L52),_xlfn.CONCAT(A52," , "),"")&amp;
IF(ISBLANK(L53),_xlfn.CONCAT(A53," , "),"")&amp;
IF(ISBLANK(L54),_xlfn.CONCAT(A54," , "),"")&amp;
IF(ISBLANK(L56),_xlfn.CONCAT(A56," , "),"")&amp;
IF(ISBLANK(L57),_xlfn.CONCAT(A57," , "),"")&amp;
IF(ISBLANK(L58),_xlfn.CONCAT(A58," , "),"")&amp;
IF(ISBLANK(L59),_xlfn.CONCAT(A59," , "),"")&amp;
IF(ISBLANK(L60),_xlfn.CONCAT(A60," , "),"")&amp;
IF(ISBLANK(L61),_xlfn.CONCAT(A61," , "),"")&amp;
IF(ISBLANK(L62),_xlfn.CONCAT(A62," , "),"")&amp;
IF(ISBLANK(L63),_xlfn.CONCAT(A63," , "),"")&amp;
IF(ISBLANK(L64),_xlfn.CONCAT(A64," , "),"")&amp;
IF(ISBLANK(L65),_xlfn.CONCAT(A65," , "),"")&amp;
IF(ISBLANK(L66),_xlfn.CONCAT(A66," , "),"")&amp;
IF(ISBLANK(L67),_xlfn.CONCAT(A67," , "),"")&amp;
IF(ISBLANK(L68),_xlfn.CONCAT(A68," , "),"")&amp;
IF(ISBLANK(L70),_xlfn.CONCAT(A70," , "),"")&amp;
IF(ISBLANK(L71),_xlfn.CONCAT(A71," , "),"")&amp;
IF(ISBLANK(L72),_xlfn.CONCAT(A72," , "),"")&amp;
IF(ISBLANK(L73),_xlfn.CONCAT(A73," , "),"")&amp;
IF(ISBLANK(L74),_xlfn.CONCAT(A74," , "),"")&amp;
IF(ISBLANK(L75),_xlfn.CONCAT(A75," , "),"")&amp;
IF(ISBLANK(L77),_xlfn.CONCAT(A77," , "),"")&amp;
IF(ISBLANK(L78),_xlfn.CONCAT(A78," , "),"")&amp;
IF(ISBLANK(L79),_xlfn.CONCAT(A79," , "),"")&amp;
IF(ISBLANK(L80),_xlfn.CONCAT(A80," , "),"")&amp;
IF(ISBLANK(L82),_xlfn.CONCAT(A82," , "),"")&amp;
IF(ISBLANK(L83),_xlfn.CONCAT(A83," , "),"")&amp;
IF(ISBLANK(L84),_xlfn.CONCAT(A84," , "),"")&amp;
IF(ISBLANK(L85),_xlfn.CONCAT(A85," , "),"")&amp;
IF(ISBLANK(L86),_xlfn.CONCAT(A86," , "),"")&amp;
IF(ISBLANK(L87),_xlfn.CONCAT(A87," , "),"")&amp;
IF(ISBLANK(L88),_xlfn.CONCAT(A88," , "),"")&amp;
IF(ISBLANK(L89),_xlfn.CONCAT(A89," , "),"")&amp;
IF(ISBLANK(L90),_xlfn.CONCAT(A90," , "),"")&amp;
IF(ISBLANK(L93),_xlfn.CONCAT(A93," , "),"")&amp;
IF(ISBLANK(L94),_xlfn.CONCAT(A94," , "),"")&amp;
IF(ISBLANK(L95),_xlfn.CONCAT(A95," , "),"")&amp;
IF(ISBLANK(L96),A96,"")</f>
        <v>D2.8 #1 , D2.8 #2 , D2.8 #3 , D2.8 #4 , D2.8 #5 , D2.8 #6 , D2.8 #7 , D2.8 #8 , D2.8 #9 , D2.8 #10 , D2.8 #11 , D2.8 #12 , D2.8 #13 , D2.8 #14 , D2.8 #15 , D2.8 #16 , D2.8 #17 , D2.8 #18 , D2.8 #19 , D2.8 #20 , D2.8 #21 , D2.8 #22 , D2.8 #23 , D2.8 #24 , D2.8 #25 , D2.8 #26 , D2.8 #27 , D2.8 #28 , D2.8 #29 , D2.8 #30 , D2.8 #31 , D2.8 #32 , D2.8 #33 , D2.8 #34 , D2.8 #35 , D2.8 #36 , D2.8 #37 , D2.8 #38 , D2.8 #39 , D2.8 #40 , D2.8 #41 , D2.8 #42 , D2.8 #43 , D2.8 #44 , D2.8 #45 , D2.8 #46 , D2.8 #47 , D2.8 #48 , D2.8 #49 , D2.8 #50 , D2.8 #51 , D2.8 #52 , D2.8 #53 , D2.8 #54 , D2.8 #55 , D2.8 #56 , D2.8 #57 , D2.8 #58 , D2.8 #59 , D2.8 #60 , D2.8 #61 , D2.8 #62 , D2.8 #63 , D2.8 #64 , D2.8 #65 , D2.8 #66 , D2.8 #67 , D2.8 #68 , D2.8 #69 , D2.8 #70 , D2.8 #71 , D2.8 #72 , D2.8 #73 , D2.8 #74 , D2.8 #75 , D2.8 #76 , D2.8 #77 , D2.8 #79 , D2.8 #80 , D2.8 #81 , D2.8 #82</v>
      </c>
      <c r="N99" s="730"/>
    </row>
  </sheetData>
  <sheetProtection selectLockedCells="1"/>
  <autoFilter ref="B1:S99" xr:uid="{94F37DCF-9591-41C9-AB91-232C9301B7F5}">
    <filterColumn colId="3">
      <customFilters>
        <customFilter operator="notEqual" val=" "/>
      </customFilters>
    </filterColumn>
  </autoFilter>
  <mergeCells count="2">
    <mergeCell ref="M99:N99"/>
    <mergeCell ref="M98:N98"/>
  </mergeCells>
  <phoneticPr fontId="3" type="noConversion"/>
  <conditionalFormatting sqref="M98">
    <cfRule type="containsText" dxfId="11" priority="1" operator="containsText" text="โปรดระวัง ท่านยังไม่ได้บันทึกผลการประเมินในข้อดังนี้">
      <formula>NOT(ISERROR(SEARCH("โปรดระวัง ท่านยังไม่ได้บันทึกผลการประเมินในข้อดังนี้",M98)))</formula>
    </cfRule>
    <cfRule type="containsText" dxfId="10" priority="2" operator="containsText" text="ตอบแบบประเมินครบถ้วน">
      <formula>NOT(ISERROR(SEARCH("ตอบแบบประเมินครบถ้วน",M98)))</formula>
    </cfRule>
  </conditionalFormatting>
  <dataValidations count="3">
    <dataValidation type="list" allowBlank="1" showInputMessage="1" showErrorMessage="1" sqref="L51:L54 L82:L90 L10:L19 L5:L7 L21:L24 L35:L49 L27:L33 L93:L96 L70:L75 L77:L80 L56:L68" xr:uid="{1D378870-AE9E-4958-9543-69E135EE611F}">
      <formula1>"Yes,Partial,No,N/A"</formula1>
    </dataValidation>
    <dataValidation type="list" allowBlank="1" showInputMessage="1" showErrorMessage="1" sqref="L26 L8" xr:uid="{16E75183-0996-4EDA-B0ED-D939FD6C5B7F}">
      <formula1>"M1,M2,M3,M4,M5,N/A"</formula1>
    </dataValidation>
    <dataValidation type="list" allowBlank="1" showInputMessage="1" showErrorMessage="1" sqref="N5:N8 N10:N19 N21:N24 N26:N33 N35:N49 N51:N54 N82:N91 N70:N75 N77:N80 N93:N96 N56:N68" xr:uid="{53EFA863-32C4-40AE-A144-79F1EABA206F}">
      <formula1>"Yes/Partial/No, Maturity"</formula1>
    </dataValidation>
  </dataValidations>
  <pageMargins left="0.25" right="0.25" top="0.5" bottom="0.5" header="0.3" footer="0.3"/>
  <pageSetup paperSize="9" scale="70" pageOrder="overThenDown" orientation="landscape" horizontalDpi="1200" verticalDpi="1200" r:id="rId1"/>
  <headerFooter>
    <oddHeader>&amp;L&amp;"TH Sarabun New,Regular"&amp;14แนวทางการประเมินสำหรับผู้ประกอบธุรกิจภายใต้หน่วยงานกำกับดูแล (IT Audit Program)&amp;R&amp;"TH Sarabun New,Regular"&amp;14Authorised Restricted Use – Confidential</oddHeader>
    <oddFooter>&amp;L&amp;"TH Sarabun New,Regular"&amp;14หมวด 2.9 มาตรการรักษาความมั่งคงปลอดภัยในการปฏิบัติงานด้าน IT (IT operations security)&amp;R&amp;"TH Sarabun New,Regular"&amp;14&amp;P</oddFooter>
  </headerFooter>
  <ignoredErrors>
    <ignoredError sqref="F63 F93:F96" numberStoredAsText="1"/>
  </ignoredError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2173C2-D913-442C-9F60-E689A41ABDFA}">
  <sheetPr codeName="Sheet20">
    <tabColor theme="9" tint="0.39997558519241921"/>
  </sheetPr>
  <dimension ref="A1:Z22"/>
  <sheetViews>
    <sheetView topLeftCell="C1" zoomScale="55" zoomScaleNormal="55" workbookViewId="0">
      <pane ySplit="1" topLeftCell="A12" activePane="bottomLeft" state="frozen"/>
      <selection pane="bottomLeft" activeCell="M21" sqref="M21"/>
    </sheetView>
  </sheetViews>
  <sheetFormatPr defaultColWidth="8.19921875" defaultRowHeight="12.55" x14ac:dyDescent="0.2"/>
  <cols>
    <col min="1" max="1" width="10.19921875" style="287" customWidth="1"/>
    <col min="2" max="5" width="9.19921875" style="276" customWidth="1"/>
    <col min="6" max="7" width="15.19921875" style="356" customWidth="1"/>
    <col min="8" max="8" width="18.19921875" style="356" customWidth="1"/>
    <col min="9" max="9" width="50.19921875" style="287" customWidth="1"/>
    <col min="10" max="10" width="20.19921875" style="287" customWidth="1"/>
    <col min="11" max="11" width="120.19921875" style="287" customWidth="1"/>
    <col min="12" max="12" width="18.69921875" style="276" customWidth="1"/>
    <col min="13" max="13" width="50.69921875" style="287" customWidth="1"/>
    <col min="14" max="14" width="32.19921875" style="287" bestFit="1" customWidth="1"/>
    <col min="15" max="15" width="45.19921875" style="287" bestFit="1" customWidth="1"/>
    <col min="16" max="16" width="50.19921875" style="287" bestFit="1" customWidth="1"/>
    <col min="17" max="17" width="49" style="287" bestFit="1" customWidth="1"/>
    <col min="18" max="18" width="49.19921875" style="287" bestFit="1" customWidth="1"/>
    <col min="19" max="19" width="49" style="287" bestFit="1" customWidth="1"/>
    <col min="20" max="22" width="2.19921875" style="287" hidden="1" customWidth="1"/>
    <col min="23" max="26" width="8.19921875" style="287" hidden="1" customWidth="1"/>
    <col min="27" max="16384" width="8.19921875" style="287"/>
  </cols>
  <sheetData>
    <row r="1" spans="1:23" s="276" customFormat="1" ht="50.1" x14ac:dyDescent="0.2">
      <c r="A1" s="198" t="s">
        <v>181</v>
      </c>
      <c r="B1" s="199" t="s">
        <v>182</v>
      </c>
      <c r="C1" s="200" t="s">
        <v>183</v>
      </c>
      <c r="D1" s="201" t="s">
        <v>184</v>
      </c>
      <c r="E1" s="202" t="s">
        <v>185</v>
      </c>
      <c r="F1" s="198" t="s">
        <v>186</v>
      </c>
      <c r="G1" s="203" t="s">
        <v>187</v>
      </c>
      <c r="H1" s="204" t="s">
        <v>188</v>
      </c>
      <c r="I1" s="205" t="s">
        <v>189</v>
      </c>
      <c r="J1" s="206" t="s">
        <v>190</v>
      </c>
      <c r="K1" s="206" t="s">
        <v>191</v>
      </c>
      <c r="L1" s="206" t="s">
        <v>192</v>
      </c>
      <c r="M1" s="206" t="s">
        <v>111</v>
      </c>
      <c r="N1" s="206" t="s">
        <v>193</v>
      </c>
      <c r="O1" s="207" t="s">
        <v>194</v>
      </c>
      <c r="P1" s="207" t="s">
        <v>195</v>
      </c>
      <c r="Q1" s="208" t="s">
        <v>196</v>
      </c>
      <c r="R1" s="208" t="s">
        <v>197</v>
      </c>
      <c r="S1" s="207" t="s">
        <v>198</v>
      </c>
    </row>
    <row r="2" spans="1:23" x14ac:dyDescent="0.2">
      <c r="A2" s="314"/>
      <c r="B2" s="314"/>
      <c r="C2" s="314"/>
      <c r="D2" s="314"/>
      <c r="E2" s="315"/>
      <c r="F2" s="316" t="s">
        <v>365</v>
      </c>
      <c r="G2" s="317"/>
      <c r="H2" s="318"/>
      <c r="I2" s="314"/>
      <c r="J2" s="278"/>
      <c r="K2" s="278"/>
      <c r="L2" s="319"/>
      <c r="M2" s="319"/>
      <c r="N2" s="319"/>
      <c r="O2" s="320" t="s">
        <v>200</v>
      </c>
      <c r="P2" s="286" t="s">
        <v>201</v>
      </c>
      <c r="Q2" s="320" t="s">
        <v>202</v>
      </c>
      <c r="R2" s="320" t="s">
        <v>203</v>
      </c>
      <c r="S2" s="320" t="s">
        <v>204</v>
      </c>
    </row>
    <row r="3" spans="1:23" s="296" customFormat="1" x14ac:dyDescent="0.25">
      <c r="A3" s="289"/>
      <c r="B3" s="289"/>
      <c r="C3" s="289"/>
      <c r="D3" s="289"/>
      <c r="E3" s="289"/>
      <c r="F3" s="291" t="s">
        <v>1086</v>
      </c>
      <c r="G3" s="321"/>
      <c r="H3" s="322"/>
      <c r="I3" s="289"/>
      <c r="J3" s="289"/>
      <c r="K3" s="289"/>
      <c r="L3" s="289"/>
      <c r="M3" s="289"/>
      <c r="N3" s="289"/>
      <c r="O3" s="407"/>
      <c r="P3" s="407"/>
      <c r="Q3" s="407"/>
      <c r="R3" s="407"/>
      <c r="S3" s="407"/>
    </row>
    <row r="4" spans="1:23" ht="187.85" x14ac:dyDescent="0.2">
      <c r="A4" s="361" t="s">
        <v>1087</v>
      </c>
      <c r="B4" s="361" t="s">
        <v>208</v>
      </c>
      <c r="C4" s="361" t="s">
        <v>208</v>
      </c>
      <c r="D4" s="361" t="s">
        <v>208</v>
      </c>
      <c r="E4" s="361"/>
      <c r="F4" s="311">
        <v>9</v>
      </c>
      <c r="G4" s="311" t="s">
        <v>1088</v>
      </c>
      <c r="H4" s="311" t="s">
        <v>1089</v>
      </c>
      <c r="I4" s="378" t="s">
        <v>1090</v>
      </c>
      <c r="J4" s="307" t="s">
        <v>182</v>
      </c>
      <c r="K4" s="431" t="s">
        <v>1091</v>
      </c>
      <c r="L4" s="369"/>
      <c r="M4" s="240" t="str">
        <f t="shared" ref="M4:M19" si="0">IFERROR(IF(N4="Maturity",HLOOKUP(L4,$O$2:$S$200,ROW()-1,0),"N/A"),"")</f>
        <v>N/A</v>
      </c>
      <c r="N4" s="361" t="s">
        <v>213</v>
      </c>
      <c r="O4" s="432" t="s">
        <v>214</v>
      </c>
      <c r="P4" s="432" t="s">
        <v>214</v>
      </c>
      <c r="Q4" s="432" t="s">
        <v>214</v>
      </c>
      <c r="R4" s="432" t="s">
        <v>214</v>
      </c>
      <c r="S4" s="432" t="s">
        <v>214</v>
      </c>
      <c r="T4" s="276">
        <f>IF(OR(L4="Yes",L4="M3",L4="M4",L4="M5"),3,IF(OR(L4="Partial",L4="M2"),2,IF(L4="N/A",0,1)))</f>
        <v>1</v>
      </c>
      <c r="U4" s="287">
        <f>IF(L4="M4",1,IF(L4="M5",2,0))</f>
        <v>0</v>
      </c>
      <c r="V4" s="287">
        <f>T4+U4</f>
        <v>1</v>
      </c>
      <c r="W4" s="287">
        <f t="shared" ref="W4:W19" si="1">IF(ISBLANK(L4),1,0)</f>
        <v>1</v>
      </c>
    </row>
    <row r="5" spans="1:23" ht="50.1" x14ac:dyDescent="0.2">
      <c r="A5" s="210" t="s">
        <v>1092</v>
      </c>
      <c r="B5" s="210" t="s">
        <v>208</v>
      </c>
      <c r="C5" s="210" t="s">
        <v>208</v>
      </c>
      <c r="D5" s="210" t="s">
        <v>208</v>
      </c>
      <c r="E5" s="210"/>
      <c r="F5" s="306">
        <v>9</v>
      </c>
      <c r="G5" s="306" t="s">
        <v>479</v>
      </c>
      <c r="H5" s="306" t="s">
        <v>1093</v>
      </c>
      <c r="I5" s="433" t="s">
        <v>1094</v>
      </c>
      <c r="J5" s="307" t="s">
        <v>183</v>
      </c>
      <c r="K5" s="431" t="s">
        <v>1095</v>
      </c>
      <c r="L5" s="274"/>
      <c r="M5" s="216" t="str">
        <f t="shared" si="0"/>
        <v>N/A</v>
      </c>
      <c r="N5" s="210" t="s">
        <v>213</v>
      </c>
      <c r="O5" s="307" t="s">
        <v>214</v>
      </c>
      <c r="P5" s="307" t="s">
        <v>214</v>
      </c>
      <c r="Q5" s="307" t="s">
        <v>214</v>
      </c>
      <c r="R5" s="307" t="s">
        <v>214</v>
      </c>
      <c r="S5" s="307" t="s">
        <v>214</v>
      </c>
      <c r="T5" s="276">
        <f t="shared" ref="T5:T19" si="2">IF(OR(L5="Yes",L5="M3",L5="M4",L5="M5"),3,IF(OR(L5="Partial",L5="M2"),2,IF(L5="N/A",0,1)))</f>
        <v>1</v>
      </c>
      <c r="U5" s="287">
        <f t="shared" ref="U5:U19" si="3">IF(L5="M4",1,IF(L5="M5",2,0))</f>
        <v>0</v>
      </c>
      <c r="V5" s="287">
        <f t="shared" ref="V5:V19" si="4">T5+U5</f>
        <v>1</v>
      </c>
      <c r="W5" s="287">
        <f t="shared" si="1"/>
        <v>1</v>
      </c>
    </row>
    <row r="6" spans="1:23" ht="37.6" x14ac:dyDescent="0.2">
      <c r="A6" s="210" t="s">
        <v>1096</v>
      </c>
      <c r="B6" s="210" t="s">
        <v>208</v>
      </c>
      <c r="C6" s="210" t="s">
        <v>208</v>
      </c>
      <c r="D6" s="210" t="s">
        <v>208</v>
      </c>
      <c r="E6" s="210"/>
      <c r="F6" s="306">
        <v>9</v>
      </c>
      <c r="G6" s="307" t="s">
        <v>489</v>
      </c>
      <c r="H6" s="306" t="s">
        <v>1097</v>
      </c>
      <c r="I6" s="344" t="s">
        <v>1098</v>
      </c>
      <c r="J6" s="307" t="s">
        <v>183</v>
      </c>
      <c r="K6" s="218" t="s">
        <v>1099</v>
      </c>
      <c r="L6" s="274"/>
      <c r="M6" s="216" t="str">
        <f t="shared" si="0"/>
        <v>N/A</v>
      </c>
      <c r="N6" s="210" t="s">
        <v>213</v>
      </c>
      <c r="O6" s="307" t="s">
        <v>214</v>
      </c>
      <c r="P6" s="307" t="s">
        <v>214</v>
      </c>
      <c r="Q6" s="307" t="s">
        <v>214</v>
      </c>
      <c r="R6" s="307" t="s">
        <v>214</v>
      </c>
      <c r="S6" s="307" t="s">
        <v>214</v>
      </c>
      <c r="T6" s="276">
        <f t="shared" si="2"/>
        <v>1</v>
      </c>
      <c r="U6" s="287">
        <f t="shared" si="3"/>
        <v>0</v>
      </c>
      <c r="V6" s="287">
        <f t="shared" si="4"/>
        <v>1</v>
      </c>
      <c r="W6" s="287">
        <f t="shared" si="1"/>
        <v>1</v>
      </c>
    </row>
    <row r="7" spans="1:23" ht="100.2" x14ac:dyDescent="0.2">
      <c r="A7" s="210" t="s">
        <v>1100</v>
      </c>
      <c r="B7" s="210" t="s">
        <v>208</v>
      </c>
      <c r="C7" s="210" t="s">
        <v>208</v>
      </c>
      <c r="D7" s="210" t="s">
        <v>208</v>
      </c>
      <c r="E7" s="210"/>
      <c r="F7" s="306">
        <v>9</v>
      </c>
      <c r="G7" s="307" t="s">
        <v>494</v>
      </c>
      <c r="H7" s="306" t="s">
        <v>1101</v>
      </c>
      <c r="I7" s="344" t="s">
        <v>1102</v>
      </c>
      <c r="J7" s="307" t="s">
        <v>183</v>
      </c>
      <c r="K7" s="218" t="s">
        <v>1103</v>
      </c>
      <c r="L7" s="274"/>
      <c r="M7" s="216" t="str">
        <f t="shared" si="0"/>
        <v/>
      </c>
      <c r="N7" s="210" t="s">
        <v>219</v>
      </c>
      <c r="O7" s="434" t="s">
        <v>1104</v>
      </c>
      <c r="P7" s="434" t="s">
        <v>1105</v>
      </c>
      <c r="Q7" s="434" t="s">
        <v>1106</v>
      </c>
      <c r="R7" s="434" t="s">
        <v>1107</v>
      </c>
      <c r="S7" s="434" t="s">
        <v>1108</v>
      </c>
      <c r="T7" s="276">
        <f t="shared" si="2"/>
        <v>1</v>
      </c>
      <c r="U7" s="287">
        <f t="shared" si="3"/>
        <v>0</v>
      </c>
      <c r="V7" s="287">
        <f t="shared" si="4"/>
        <v>1</v>
      </c>
      <c r="W7" s="287">
        <f t="shared" si="1"/>
        <v>1</v>
      </c>
    </row>
    <row r="8" spans="1:23" ht="75.150000000000006" x14ac:dyDescent="0.2">
      <c r="A8" s="210" t="s">
        <v>1109</v>
      </c>
      <c r="B8" s="210" t="s">
        <v>208</v>
      </c>
      <c r="C8" s="210" t="s">
        <v>208</v>
      </c>
      <c r="D8" s="210" t="s">
        <v>208</v>
      </c>
      <c r="E8" s="210"/>
      <c r="F8" s="306">
        <v>9</v>
      </c>
      <c r="G8" s="307" t="s">
        <v>499</v>
      </c>
      <c r="H8" s="306" t="s">
        <v>1110</v>
      </c>
      <c r="I8" s="344" t="s">
        <v>1111</v>
      </c>
      <c r="J8" s="307" t="s">
        <v>183</v>
      </c>
      <c r="K8" s="218" t="s">
        <v>1112</v>
      </c>
      <c r="L8" s="274"/>
      <c r="M8" s="216" t="str">
        <f t="shared" si="0"/>
        <v>N/A</v>
      </c>
      <c r="N8" s="210" t="s">
        <v>213</v>
      </c>
      <c r="O8" s="307" t="s">
        <v>214</v>
      </c>
      <c r="P8" s="307" t="s">
        <v>214</v>
      </c>
      <c r="Q8" s="307" t="s">
        <v>214</v>
      </c>
      <c r="R8" s="307" t="s">
        <v>214</v>
      </c>
      <c r="S8" s="307" t="s">
        <v>214</v>
      </c>
      <c r="T8" s="276">
        <f t="shared" si="2"/>
        <v>1</v>
      </c>
      <c r="U8" s="287">
        <f t="shared" si="3"/>
        <v>0</v>
      </c>
      <c r="V8" s="287">
        <f t="shared" si="4"/>
        <v>1</v>
      </c>
      <c r="W8" s="287">
        <f t="shared" si="1"/>
        <v>1</v>
      </c>
    </row>
    <row r="9" spans="1:23" ht="50.1" x14ac:dyDescent="0.2">
      <c r="A9" s="210" t="s">
        <v>1113</v>
      </c>
      <c r="B9" s="210" t="s">
        <v>208</v>
      </c>
      <c r="C9" s="210" t="s">
        <v>208</v>
      </c>
      <c r="D9" s="210" t="s">
        <v>208</v>
      </c>
      <c r="E9" s="210"/>
      <c r="F9" s="306">
        <v>9</v>
      </c>
      <c r="G9" s="307" t="s">
        <v>1114</v>
      </c>
      <c r="H9" s="306" t="s">
        <v>1115</v>
      </c>
      <c r="I9" s="344" t="s">
        <v>1116</v>
      </c>
      <c r="J9" s="307" t="s">
        <v>183</v>
      </c>
      <c r="K9" s="216" t="s">
        <v>1117</v>
      </c>
      <c r="L9" s="274"/>
      <c r="M9" s="216" t="str">
        <f t="shared" si="0"/>
        <v>N/A</v>
      </c>
      <c r="N9" s="210" t="s">
        <v>213</v>
      </c>
      <c r="O9" s="307" t="s">
        <v>214</v>
      </c>
      <c r="P9" s="307" t="s">
        <v>214</v>
      </c>
      <c r="Q9" s="307" t="s">
        <v>214</v>
      </c>
      <c r="R9" s="307" t="s">
        <v>214</v>
      </c>
      <c r="S9" s="307" t="s">
        <v>214</v>
      </c>
      <c r="T9" s="276">
        <f t="shared" si="2"/>
        <v>1</v>
      </c>
      <c r="U9" s="287">
        <f t="shared" si="3"/>
        <v>0</v>
      </c>
      <c r="V9" s="287">
        <f t="shared" si="4"/>
        <v>1</v>
      </c>
      <c r="W9" s="287">
        <f t="shared" si="1"/>
        <v>1</v>
      </c>
    </row>
    <row r="10" spans="1:23" ht="37.6" x14ac:dyDescent="0.2">
      <c r="A10" s="210" t="s">
        <v>1118</v>
      </c>
      <c r="B10" s="210" t="s">
        <v>208</v>
      </c>
      <c r="C10" s="344"/>
      <c r="D10" s="344"/>
      <c r="E10" s="344"/>
      <c r="F10" s="306">
        <v>9</v>
      </c>
      <c r="G10" s="307" t="s">
        <v>1119</v>
      </c>
      <c r="H10" s="306" t="s">
        <v>1120</v>
      </c>
      <c r="I10" s="344" t="s">
        <v>1121</v>
      </c>
      <c r="J10" s="307" t="s">
        <v>183</v>
      </c>
      <c r="K10" s="216" t="s">
        <v>1122</v>
      </c>
      <c r="L10" s="274"/>
      <c r="M10" s="216" t="str">
        <f t="shared" si="0"/>
        <v>N/A</v>
      </c>
      <c r="N10" s="210" t="s">
        <v>213</v>
      </c>
      <c r="O10" s="307" t="s">
        <v>214</v>
      </c>
      <c r="P10" s="307" t="s">
        <v>214</v>
      </c>
      <c r="Q10" s="307" t="s">
        <v>214</v>
      </c>
      <c r="R10" s="307" t="s">
        <v>214</v>
      </c>
      <c r="S10" s="307" t="s">
        <v>214</v>
      </c>
      <c r="T10" s="276">
        <f t="shared" si="2"/>
        <v>1</v>
      </c>
      <c r="U10" s="287">
        <f t="shared" si="3"/>
        <v>0</v>
      </c>
      <c r="V10" s="287">
        <f t="shared" si="4"/>
        <v>1</v>
      </c>
      <c r="W10" s="287">
        <f t="shared" si="1"/>
        <v>1</v>
      </c>
    </row>
    <row r="11" spans="1:23" ht="62.65" x14ac:dyDescent="0.2">
      <c r="A11" s="210" t="s">
        <v>1123</v>
      </c>
      <c r="B11" s="210" t="s">
        <v>208</v>
      </c>
      <c r="C11" s="344"/>
      <c r="D11" s="344"/>
      <c r="E11" s="344"/>
      <c r="F11" s="306">
        <v>9</v>
      </c>
      <c r="G11" s="307" t="s">
        <v>1124</v>
      </c>
      <c r="H11" s="306" t="s">
        <v>1125</v>
      </c>
      <c r="I11" s="344" t="s">
        <v>1126</v>
      </c>
      <c r="J11" s="307" t="s">
        <v>183</v>
      </c>
      <c r="K11" s="216" t="s">
        <v>1127</v>
      </c>
      <c r="L11" s="274"/>
      <c r="M11" s="216" t="str">
        <f t="shared" si="0"/>
        <v>N/A</v>
      </c>
      <c r="N11" s="210" t="s">
        <v>213</v>
      </c>
      <c r="O11" s="307" t="s">
        <v>214</v>
      </c>
      <c r="P11" s="307" t="s">
        <v>214</v>
      </c>
      <c r="Q11" s="307" t="s">
        <v>214</v>
      </c>
      <c r="R11" s="307" t="s">
        <v>214</v>
      </c>
      <c r="S11" s="307" t="s">
        <v>214</v>
      </c>
      <c r="T11" s="276">
        <f t="shared" si="2"/>
        <v>1</v>
      </c>
      <c r="U11" s="287">
        <f t="shared" si="3"/>
        <v>0</v>
      </c>
      <c r="V11" s="287">
        <f t="shared" si="4"/>
        <v>1</v>
      </c>
      <c r="W11" s="287">
        <f t="shared" si="1"/>
        <v>1</v>
      </c>
    </row>
    <row r="12" spans="1:23" ht="37.6" x14ac:dyDescent="0.2">
      <c r="A12" s="210" t="s">
        <v>1128</v>
      </c>
      <c r="B12" s="210" t="s">
        <v>208</v>
      </c>
      <c r="C12" s="210" t="s">
        <v>208</v>
      </c>
      <c r="D12" s="210" t="s">
        <v>208</v>
      </c>
      <c r="E12" s="210"/>
      <c r="F12" s="306">
        <v>9</v>
      </c>
      <c r="G12" s="307" t="s">
        <v>877</v>
      </c>
      <c r="H12" s="306" t="s">
        <v>1129</v>
      </c>
      <c r="I12" s="344" t="s">
        <v>1130</v>
      </c>
      <c r="J12" s="307" t="s">
        <v>183</v>
      </c>
      <c r="K12" s="216" t="s">
        <v>1131</v>
      </c>
      <c r="L12" s="274"/>
      <c r="M12" s="216" t="str">
        <f t="shared" si="0"/>
        <v>N/A</v>
      </c>
      <c r="N12" s="210" t="s">
        <v>213</v>
      </c>
      <c r="O12" s="307" t="s">
        <v>214</v>
      </c>
      <c r="P12" s="307" t="s">
        <v>214</v>
      </c>
      <c r="Q12" s="307" t="s">
        <v>214</v>
      </c>
      <c r="R12" s="307" t="s">
        <v>214</v>
      </c>
      <c r="S12" s="307" t="s">
        <v>214</v>
      </c>
      <c r="T12" s="276">
        <f t="shared" si="2"/>
        <v>1</v>
      </c>
      <c r="U12" s="287">
        <f t="shared" si="3"/>
        <v>0</v>
      </c>
      <c r="V12" s="287">
        <f t="shared" si="4"/>
        <v>1</v>
      </c>
      <c r="W12" s="287">
        <f t="shared" si="1"/>
        <v>1</v>
      </c>
    </row>
    <row r="13" spans="1:23" ht="37.6" x14ac:dyDescent="0.2">
      <c r="A13" s="210" t="s">
        <v>1132</v>
      </c>
      <c r="B13" s="210" t="s">
        <v>208</v>
      </c>
      <c r="C13" s="210" t="s">
        <v>208</v>
      </c>
      <c r="D13" s="210" t="s">
        <v>208</v>
      </c>
      <c r="E13" s="210"/>
      <c r="F13" s="306">
        <v>9</v>
      </c>
      <c r="G13" s="307" t="s">
        <v>882</v>
      </c>
      <c r="H13" s="306" t="s">
        <v>1133</v>
      </c>
      <c r="I13" s="344" t="s">
        <v>1134</v>
      </c>
      <c r="J13" s="307" t="s">
        <v>183</v>
      </c>
      <c r="K13" s="218" t="s">
        <v>1135</v>
      </c>
      <c r="L13" s="274"/>
      <c r="M13" s="216" t="str">
        <f t="shared" si="0"/>
        <v>N/A</v>
      </c>
      <c r="N13" s="210" t="s">
        <v>213</v>
      </c>
      <c r="O13" s="307" t="s">
        <v>214</v>
      </c>
      <c r="P13" s="307" t="s">
        <v>214</v>
      </c>
      <c r="Q13" s="307" t="s">
        <v>214</v>
      </c>
      <c r="R13" s="307" t="s">
        <v>214</v>
      </c>
      <c r="S13" s="307" t="s">
        <v>214</v>
      </c>
      <c r="T13" s="276">
        <f t="shared" si="2"/>
        <v>1</v>
      </c>
      <c r="U13" s="287">
        <f t="shared" si="3"/>
        <v>0</v>
      </c>
      <c r="V13" s="287">
        <f t="shared" si="4"/>
        <v>1</v>
      </c>
      <c r="W13" s="287">
        <f t="shared" si="1"/>
        <v>1</v>
      </c>
    </row>
    <row r="14" spans="1:23" ht="50.1" x14ac:dyDescent="0.2">
      <c r="A14" s="210" t="s">
        <v>1136</v>
      </c>
      <c r="B14" s="210" t="s">
        <v>208</v>
      </c>
      <c r="C14" s="210" t="s">
        <v>208</v>
      </c>
      <c r="D14" s="210" t="s">
        <v>208</v>
      </c>
      <c r="E14" s="210"/>
      <c r="F14" s="306">
        <v>9</v>
      </c>
      <c r="G14" s="307" t="s">
        <v>887</v>
      </c>
      <c r="H14" s="306" t="s">
        <v>1137</v>
      </c>
      <c r="I14" s="344" t="s">
        <v>1138</v>
      </c>
      <c r="J14" s="307" t="s">
        <v>183</v>
      </c>
      <c r="K14" s="216" t="s">
        <v>1139</v>
      </c>
      <c r="L14" s="274"/>
      <c r="M14" s="216" t="str">
        <f t="shared" si="0"/>
        <v>N/A</v>
      </c>
      <c r="N14" s="210" t="s">
        <v>213</v>
      </c>
      <c r="O14" s="307" t="s">
        <v>214</v>
      </c>
      <c r="P14" s="307" t="s">
        <v>214</v>
      </c>
      <c r="Q14" s="307" t="s">
        <v>214</v>
      </c>
      <c r="R14" s="307" t="s">
        <v>214</v>
      </c>
      <c r="S14" s="307" t="s">
        <v>214</v>
      </c>
      <c r="T14" s="276">
        <f t="shared" si="2"/>
        <v>1</v>
      </c>
      <c r="U14" s="287">
        <f t="shared" si="3"/>
        <v>0</v>
      </c>
      <c r="V14" s="287">
        <f t="shared" si="4"/>
        <v>1</v>
      </c>
      <c r="W14" s="287">
        <f t="shared" si="1"/>
        <v>1</v>
      </c>
    </row>
    <row r="15" spans="1:23" ht="112.7" x14ac:dyDescent="0.2">
      <c r="A15" s="210" t="s">
        <v>1140</v>
      </c>
      <c r="B15" s="210" t="s">
        <v>208</v>
      </c>
      <c r="C15" s="210" t="s">
        <v>208</v>
      </c>
      <c r="D15" s="210" t="s">
        <v>208</v>
      </c>
      <c r="E15" s="210"/>
      <c r="F15" s="306">
        <v>9</v>
      </c>
      <c r="G15" s="307" t="s">
        <v>892</v>
      </c>
      <c r="H15" s="306" t="s">
        <v>1141</v>
      </c>
      <c r="I15" s="344" t="s">
        <v>1142</v>
      </c>
      <c r="J15" s="307" t="s">
        <v>183</v>
      </c>
      <c r="K15" s="216" t="s">
        <v>1143</v>
      </c>
      <c r="L15" s="274"/>
      <c r="M15" s="216" t="str">
        <f t="shared" si="0"/>
        <v>N/A</v>
      </c>
      <c r="N15" s="210" t="s">
        <v>213</v>
      </c>
      <c r="O15" s="307" t="s">
        <v>214</v>
      </c>
      <c r="P15" s="307" t="s">
        <v>214</v>
      </c>
      <c r="Q15" s="307" t="s">
        <v>214</v>
      </c>
      <c r="R15" s="307" t="s">
        <v>214</v>
      </c>
      <c r="S15" s="307" t="s">
        <v>214</v>
      </c>
      <c r="T15" s="276">
        <f t="shared" si="2"/>
        <v>1</v>
      </c>
      <c r="U15" s="287">
        <f t="shared" si="3"/>
        <v>0</v>
      </c>
      <c r="V15" s="287">
        <f t="shared" si="4"/>
        <v>1</v>
      </c>
      <c r="W15" s="287">
        <f t="shared" si="1"/>
        <v>1</v>
      </c>
    </row>
    <row r="16" spans="1:23" ht="62.65" x14ac:dyDescent="0.2">
      <c r="A16" s="210" t="s">
        <v>1144</v>
      </c>
      <c r="B16" s="210" t="s">
        <v>208</v>
      </c>
      <c r="C16" s="210" t="s">
        <v>208</v>
      </c>
      <c r="D16" s="210" t="s">
        <v>208</v>
      </c>
      <c r="E16" s="210"/>
      <c r="F16" s="306">
        <v>9</v>
      </c>
      <c r="G16" s="307" t="s">
        <v>897</v>
      </c>
      <c r="H16" s="306" t="s">
        <v>1145</v>
      </c>
      <c r="I16" s="344" t="s">
        <v>1146</v>
      </c>
      <c r="J16" s="307" t="s">
        <v>183</v>
      </c>
      <c r="K16" s="216" t="s">
        <v>1147</v>
      </c>
      <c r="L16" s="274"/>
      <c r="M16" s="216" t="str">
        <f t="shared" si="0"/>
        <v>N/A</v>
      </c>
      <c r="N16" s="210" t="s">
        <v>213</v>
      </c>
      <c r="O16" s="307" t="s">
        <v>214</v>
      </c>
      <c r="P16" s="307" t="s">
        <v>214</v>
      </c>
      <c r="Q16" s="307" t="s">
        <v>214</v>
      </c>
      <c r="R16" s="307" t="s">
        <v>214</v>
      </c>
      <c r="S16" s="307" t="s">
        <v>214</v>
      </c>
      <c r="T16" s="276">
        <f t="shared" si="2"/>
        <v>1</v>
      </c>
      <c r="U16" s="287">
        <f t="shared" si="3"/>
        <v>0</v>
      </c>
      <c r="V16" s="287">
        <f t="shared" si="4"/>
        <v>1</v>
      </c>
      <c r="W16" s="287">
        <f t="shared" si="1"/>
        <v>1</v>
      </c>
    </row>
    <row r="17" spans="1:25" ht="100.2" x14ac:dyDescent="0.2">
      <c r="A17" s="210" t="s">
        <v>1148</v>
      </c>
      <c r="B17" s="210" t="s">
        <v>208</v>
      </c>
      <c r="C17" s="210" t="s">
        <v>208</v>
      </c>
      <c r="D17" s="210" t="s">
        <v>208</v>
      </c>
      <c r="E17" s="210"/>
      <c r="F17" s="306">
        <v>9</v>
      </c>
      <c r="G17" s="307" t="s">
        <v>1149</v>
      </c>
      <c r="H17" s="306" t="s">
        <v>1150</v>
      </c>
      <c r="I17" s="362" t="s">
        <v>1151</v>
      </c>
      <c r="J17" s="307" t="s">
        <v>183</v>
      </c>
      <c r="K17" s="216" t="s">
        <v>1152</v>
      </c>
      <c r="L17" s="274"/>
      <c r="M17" s="216" t="str">
        <f t="shared" si="0"/>
        <v>N/A</v>
      </c>
      <c r="N17" s="210" t="s">
        <v>213</v>
      </c>
      <c r="O17" s="307" t="s">
        <v>214</v>
      </c>
      <c r="P17" s="307" t="s">
        <v>214</v>
      </c>
      <c r="Q17" s="307" t="s">
        <v>214</v>
      </c>
      <c r="R17" s="307" t="s">
        <v>214</v>
      </c>
      <c r="S17" s="307" t="s">
        <v>214</v>
      </c>
      <c r="T17" s="276">
        <f t="shared" si="2"/>
        <v>1</v>
      </c>
      <c r="U17" s="287">
        <f t="shared" si="3"/>
        <v>0</v>
      </c>
      <c r="V17" s="287">
        <f t="shared" si="4"/>
        <v>1</v>
      </c>
      <c r="W17" s="287">
        <f t="shared" si="1"/>
        <v>1</v>
      </c>
    </row>
    <row r="18" spans="1:25" ht="37.6" x14ac:dyDescent="0.2">
      <c r="A18" s="210" t="s">
        <v>1153</v>
      </c>
      <c r="B18" s="210" t="s">
        <v>208</v>
      </c>
      <c r="C18" s="210" t="s">
        <v>208</v>
      </c>
      <c r="D18" s="210" t="s">
        <v>208</v>
      </c>
      <c r="E18" s="210"/>
      <c r="F18" s="306">
        <v>9</v>
      </c>
      <c r="G18" s="307" t="s">
        <v>907</v>
      </c>
      <c r="H18" s="306" t="s">
        <v>1154</v>
      </c>
      <c r="I18" s="344" t="s">
        <v>1155</v>
      </c>
      <c r="J18" s="307" t="s">
        <v>183</v>
      </c>
      <c r="K18" s="216" t="s">
        <v>1156</v>
      </c>
      <c r="L18" s="274"/>
      <c r="M18" s="216" t="str">
        <f t="shared" si="0"/>
        <v>N/A</v>
      </c>
      <c r="N18" s="210" t="s">
        <v>213</v>
      </c>
      <c r="O18" s="307" t="s">
        <v>214</v>
      </c>
      <c r="P18" s="307" t="s">
        <v>214</v>
      </c>
      <c r="Q18" s="307" t="s">
        <v>214</v>
      </c>
      <c r="R18" s="307" t="s">
        <v>214</v>
      </c>
      <c r="S18" s="307" t="s">
        <v>214</v>
      </c>
      <c r="T18" s="276">
        <f t="shared" si="2"/>
        <v>1</v>
      </c>
      <c r="U18" s="287">
        <f t="shared" si="3"/>
        <v>0</v>
      </c>
      <c r="V18" s="287">
        <f t="shared" si="4"/>
        <v>1</v>
      </c>
      <c r="W18" s="287">
        <f t="shared" si="1"/>
        <v>1</v>
      </c>
    </row>
    <row r="19" spans="1:25" ht="37.6" x14ac:dyDescent="0.2">
      <c r="A19" s="210" t="s">
        <v>1157</v>
      </c>
      <c r="B19" s="210" t="s">
        <v>208</v>
      </c>
      <c r="C19" s="344"/>
      <c r="D19" s="344"/>
      <c r="E19" s="344"/>
      <c r="F19" s="306">
        <v>9</v>
      </c>
      <c r="G19" s="307" t="s">
        <v>912</v>
      </c>
      <c r="H19" s="306" t="s">
        <v>1158</v>
      </c>
      <c r="I19" s="344" t="s">
        <v>1159</v>
      </c>
      <c r="J19" s="307" t="s">
        <v>183</v>
      </c>
      <c r="K19" s="216" t="s">
        <v>1160</v>
      </c>
      <c r="L19" s="274"/>
      <c r="M19" s="216" t="str">
        <f t="shared" si="0"/>
        <v>N/A</v>
      </c>
      <c r="N19" s="210" t="s">
        <v>213</v>
      </c>
      <c r="O19" s="307" t="s">
        <v>214</v>
      </c>
      <c r="P19" s="307" t="s">
        <v>214</v>
      </c>
      <c r="Q19" s="307" t="s">
        <v>214</v>
      </c>
      <c r="R19" s="307" t="s">
        <v>214</v>
      </c>
      <c r="S19" s="307" t="s">
        <v>214</v>
      </c>
      <c r="T19" s="276">
        <f t="shared" si="2"/>
        <v>1</v>
      </c>
      <c r="U19" s="287">
        <f t="shared" si="3"/>
        <v>0</v>
      </c>
      <c r="V19" s="287">
        <f t="shared" si="4"/>
        <v>1</v>
      </c>
      <c r="W19" s="287">
        <f t="shared" si="1"/>
        <v>1</v>
      </c>
    </row>
    <row r="20" spans="1:25" x14ac:dyDescent="0.2">
      <c r="W20" s="287">
        <f>SUM(W4:W19)</f>
        <v>16</v>
      </c>
      <c r="Y20" s="287">
        <f>COUNTIF(N4:N19,"Maturity")</f>
        <v>1</v>
      </c>
    </row>
    <row r="21" spans="1:25" x14ac:dyDescent="0.2">
      <c r="L21" s="271" t="s">
        <v>364</v>
      </c>
      <c r="M21" s="272" t="str">
        <f>IF(W20&gt;0,"โปรดระวัง ท่านยังไม่ได้บันทึกผลการประเมินในข้อดังนี้","ตอบแบบประเมินครบถ้วน")</f>
        <v>โปรดระวัง ท่านยังไม่ได้บันทึกผลการประเมินในข้อดังนี้</v>
      </c>
    </row>
    <row r="22" spans="1:25" ht="37.6" x14ac:dyDescent="0.2">
      <c r="M22" s="358" t="str">
        <f>IF(ISBLANK(L4),_xlfn.CONCAT(A4," , "),"")&amp;IF(ISBLANK(L5),_xlfn.CONCAT(A5," , "),"")&amp; IF(ISBLANK(L6),_xlfn.CONCAT(A6," , "),"")&amp; IF(ISBLANK(L7),_xlfn.CONCAT(A7," , "),"")&amp; IF(ISBLANK(L8),_xlfn.CONCAT(A8," , "),"")&amp; IF(ISBLANK(L9),_xlfn.CONCAT(A9," , "),"")&amp; IF(ISBLANK(L10),_xlfn.CONCAT(A10," , "),"")&amp; IF(ISBLANK(L11),_xlfn.CONCAT(A11," , "),"")&amp; IF(ISBLANK(L12),_xlfn.CONCAT(A12," , "),"")&amp; IF(ISBLANK(L13),_xlfn.CONCAT(A13," , "),"")&amp; IF(ISBLANK(L14),_xlfn.CONCAT(A14," , "),"")&amp; IF(ISBLANK(L15),_xlfn.CONCAT(A15," , "),"")&amp; IF(ISBLANK(L16),_xlfn.CONCAT(A16," , "),"")&amp; IF(ISBLANK(L17),_xlfn.CONCAT(A17," , "),"")&amp; IF(ISBLANK(L18),_xlfn.CONCAT(A18," , "),"")&amp; IF(ISBLANK(L19),A19,"")</f>
        <v>D2.9 #1 , D2.9 #2 , D2.9 #3 , D2.9 #4 , D2.9 #5 , D2.9 #6 , D2.9 #7 , D2.9 #8 , D2.9 #9 , D2.9 #10 , D2.9 #11 , D2.9 #12 , D2.9 #13 , D2.9 #14 , D2.9 #15 , D2.9 #16</v>
      </c>
    </row>
  </sheetData>
  <sheetProtection selectLockedCells="1"/>
  <autoFilter ref="B1:S19" xr:uid="{B3489971-5925-46E7-8CD9-696C9DA35908}"/>
  <conditionalFormatting sqref="M21">
    <cfRule type="containsText" dxfId="9" priority="1" operator="containsText" text="โปรดระวัง ท่านยังไม่ได้บันทึกผลการประเมินในข้อดังนี้">
      <formula>NOT(ISERROR(SEARCH("โปรดระวัง ท่านยังไม่ได้บันทึกผลการประเมินในข้อดังนี้",M21)))</formula>
    </cfRule>
    <cfRule type="containsText" dxfId="8" priority="2" operator="containsText" text="ตอบแบบประเมินครบถ้วน">
      <formula>NOT(ISERROR(SEARCH("ตอบแบบประเมินครบถ้วน",M21)))</formula>
    </cfRule>
  </conditionalFormatting>
  <dataValidations count="3">
    <dataValidation type="list" allowBlank="1" showInputMessage="1" showErrorMessage="1" sqref="L7" xr:uid="{DAEBE5C5-EBD9-46BE-B331-AEBF8B5BF66B}">
      <formula1>"M1,M2,M3,M4,M5,N/A"</formula1>
    </dataValidation>
    <dataValidation type="list" allowBlank="1" showInputMessage="1" showErrorMessage="1" sqref="N4:N19" xr:uid="{0AC2AE91-6DF9-4490-8D57-1150F464EE20}">
      <formula1>"Yes/Partial/No, Maturity"</formula1>
    </dataValidation>
    <dataValidation type="list" allowBlank="1" showInputMessage="1" showErrorMessage="1" sqref="L4:L6 L8:L19" xr:uid="{9E411BC4-B794-4ACC-843B-BB9F431EF5DF}">
      <formula1>"Yes,Partial,No,N/A"</formula1>
    </dataValidation>
  </dataValidations>
  <pageMargins left="0.7" right="0.7" top="0.75" bottom="0.75" header="0.3" footer="0.3"/>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CABA3F-277D-4875-9374-CDA10E535349}">
  <sheetPr codeName="Sheet21">
    <tabColor theme="9" tint="0.39997558519241921"/>
  </sheetPr>
  <dimension ref="A1:Y42"/>
  <sheetViews>
    <sheetView topLeftCell="I1" zoomScale="85" zoomScaleNormal="85" workbookViewId="0">
      <pane ySplit="1" topLeftCell="A5" activePane="bottomLeft" state="frozen"/>
      <selection pane="bottomLeft" activeCell="L5" sqref="L5:L30"/>
    </sheetView>
  </sheetViews>
  <sheetFormatPr defaultColWidth="8.19921875" defaultRowHeight="12.55" x14ac:dyDescent="0.25"/>
  <cols>
    <col min="1" max="1" width="10.19921875" style="368" customWidth="1"/>
    <col min="2" max="5" width="9.19921875" style="356" customWidth="1"/>
    <col min="6" max="7" width="15.19921875" style="356" customWidth="1"/>
    <col min="8" max="8" width="18.19921875" style="356" customWidth="1"/>
    <col min="9" max="9" width="50.19921875" style="449" customWidth="1"/>
    <col min="10" max="10" width="20.19921875" style="450" customWidth="1"/>
    <col min="11" max="11" width="120.19921875" style="368" customWidth="1"/>
    <col min="12" max="12" width="18.69921875" style="356" customWidth="1"/>
    <col min="13" max="13" width="50.69921875" style="368" customWidth="1"/>
    <col min="14" max="14" width="32.19921875" style="368" bestFit="1" customWidth="1"/>
    <col min="15" max="16" width="49.09765625" style="368" bestFit="1" customWidth="1"/>
    <col min="17" max="18" width="49.19921875" style="368" bestFit="1" customWidth="1"/>
    <col min="19" max="19" width="50.19921875" style="368" bestFit="1" customWidth="1"/>
    <col min="20" max="22" width="2" style="368" hidden="1" customWidth="1"/>
    <col min="23" max="25" width="8.19921875" style="368" hidden="1" customWidth="1"/>
    <col min="26" max="26" width="8.19921875" style="368" customWidth="1"/>
    <col min="27" max="16384" width="8.19921875" style="368"/>
  </cols>
  <sheetData>
    <row r="1" spans="1:23" s="276" customFormat="1" ht="37.6" x14ac:dyDescent="0.2">
      <c r="A1" s="198" t="s">
        <v>181</v>
      </c>
      <c r="B1" s="199" t="s">
        <v>182</v>
      </c>
      <c r="C1" s="200" t="s">
        <v>183</v>
      </c>
      <c r="D1" s="201" t="s">
        <v>184</v>
      </c>
      <c r="E1" s="202" t="s">
        <v>185</v>
      </c>
      <c r="F1" s="198" t="s">
        <v>186</v>
      </c>
      <c r="G1" s="203" t="s">
        <v>187</v>
      </c>
      <c r="H1" s="204" t="s">
        <v>188</v>
      </c>
      <c r="I1" s="205" t="s">
        <v>189</v>
      </c>
      <c r="J1" s="206" t="s">
        <v>190</v>
      </c>
      <c r="K1" s="206" t="s">
        <v>191</v>
      </c>
      <c r="L1" s="206" t="s">
        <v>192</v>
      </c>
      <c r="M1" s="206" t="s">
        <v>111</v>
      </c>
      <c r="N1" s="206" t="s">
        <v>193</v>
      </c>
      <c r="O1" s="207" t="s">
        <v>194</v>
      </c>
      <c r="P1" s="207" t="s">
        <v>195</v>
      </c>
      <c r="Q1" s="208" t="s">
        <v>196</v>
      </c>
      <c r="R1" s="208" t="s">
        <v>197</v>
      </c>
      <c r="S1" s="207" t="s">
        <v>198</v>
      </c>
    </row>
    <row r="2" spans="1:23" s="287" customFormat="1" x14ac:dyDescent="0.2">
      <c r="A2" s="314"/>
      <c r="B2" s="314"/>
      <c r="C2" s="314"/>
      <c r="D2" s="314"/>
      <c r="E2" s="315"/>
      <c r="F2" s="316" t="s">
        <v>365</v>
      </c>
      <c r="G2" s="317"/>
      <c r="H2" s="318"/>
      <c r="I2" s="314"/>
      <c r="J2" s="278"/>
      <c r="K2" s="278"/>
      <c r="L2" s="319"/>
      <c r="M2" s="319"/>
      <c r="N2" s="319"/>
      <c r="O2" s="320" t="s">
        <v>200</v>
      </c>
      <c r="P2" s="286" t="s">
        <v>201</v>
      </c>
      <c r="Q2" s="320" t="s">
        <v>202</v>
      </c>
      <c r="R2" s="320" t="s">
        <v>203</v>
      </c>
      <c r="S2" s="320" t="s">
        <v>204</v>
      </c>
    </row>
    <row r="3" spans="1:23" s="296" customFormat="1" x14ac:dyDescent="0.25">
      <c r="A3" s="289"/>
      <c r="B3" s="289"/>
      <c r="C3" s="289"/>
      <c r="D3" s="289"/>
      <c r="E3" s="289"/>
      <c r="F3" s="291" t="s">
        <v>1161</v>
      </c>
      <c r="G3" s="321"/>
      <c r="H3" s="322"/>
      <c r="I3" s="289"/>
      <c r="J3" s="289"/>
      <c r="K3" s="289"/>
      <c r="L3" s="289"/>
      <c r="M3" s="289"/>
      <c r="N3" s="289"/>
      <c r="O3" s="289"/>
      <c r="P3" s="289"/>
      <c r="Q3" s="289"/>
      <c r="R3" s="289"/>
      <c r="S3" s="289"/>
    </row>
    <row r="4" spans="1:23" s="287" customFormat="1" x14ac:dyDescent="0.2">
      <c r="A4" s="323"/>
      <c r="B4" s="323"/>
      <c r="C4" s="323"/>
      <c r="D4" s="323"/>
      <c r="E4" s="324"/>
      <c r="F4" s="325" t="s">
        <v>1162</v>
      </c>
      <c r="G4" s="435"/>
      <c r="H4" s="436"/>
      <c r="I4" s="323"/>
      <c r="J4" s="298"/>
      <c r="K4" s="298"/>
      <c r="L4" s="328"/>
      <c r="M4" s="328"/>
      <c r="N4" s="303"/>
      <c r="O4" s="303"/>
      <c r="P4" s="303"/>
      <c r="Q4" s="303"/>
      <c r="R4" s="303"/>
      <c r="S4" s="303"/>
    </row>
    <row r="5" spans="1:23" ht="275.5" x14ac:dyDescent="0.2">
      <c r="A5" s="210" t="s">
        <v>1163</v>
      </c>
      <c r="B5" s="210" t="s">
        <v>208</v>
      </c>
      <c r="C5" s="210" t="s">
        <v>208</v>
      </c>
      <c r="D5" s="210" t="s">
        <v>208</v>
      </c>
      <c r="E5" s="210"/>
      <c r="F5" s="254">
        <v>10.1</v>
      </c>
      <c r="G5" s="254" t="s">
        <v>474</v>
      </c>
      <c r="H5" s="254" t="s">
        <v>1164</v>
      </c>
      <c r="I5" s="219" t="s">
        <v>1165</v>
      </c>
      <c r="J5" s="210" t="s">
        <v>183</v>
      </c>
      <c r="K5" s="216" t="s">
        <v>1166</v>
      </c>
      <c r="L5" s="274"/>
      <c r="M5" s="234" t="str">
        <f t="shared" ref="M5:M11" si="0">IFERROR(IF(N5="Maturity",HLOOKUP(L5,$O$2:$S$200,ROW()-1,0),"N/A"),"")</f>
        <v>N/A</v>
      </c>
      <c r="N5" s="239" t="s">
        <v>213</v>
      </c>
      <c r="O5" s="216" t="s">
        <v>214</v>
      </c>
      <c r="P5" s="216" t="s">
        <v>214</v>
      </c>
      <c r="Q5" s="216" t="s">
        <v>214</v>
      </c>
      <c r="R5" s="216" t="s">
        <v>214</v>
      </c>
      <c r="S5" s="216" t="s">
        <v>214</v>
      </c>
      <c r="T5" s="276">
        <f>IF(OR(L5="Yes",L5="M3",L5="M4",L5="M5"),3,IF(OR(L5="Partial",L5="M2"),2,IF(L5="N/A",0,1)))</f>
        <v>1</v>
      </c>
      <c r="U5" s="287">
        <f>IF(L5="M4",1,IF(L5="M5",2,0))</f>
        <v>0</v>
      </c>
      <c r="V5" s="287">
        <f>T5+U5</f>
        <v>1</v>
      </c>
      <c r="W5" s="287">
        <f t="shared" ref="W5:W20" si="1">IF(ISBLANK(L5),1,0)</f>
        <v>1</v>
      </c>
    </row>
    <row r="6" spans="1:23" ht="125.25" x14ac:dyDescent="0.2">
      <c r="A6" s="210" t="s">
        <v>1167</v>
      </c>
      <c r="B6" s="210" t="s">
        <v>208</v>
      </c>
      <c r="C6" s="210" t="s">
        <v>208</v>
      </c>
      <c r="D6" s="210" t="s">
        <v>208</v>
      </c>
      <c r="E6" s="437"/>
      <c r="F6" s="261">
        <v>10.1</v>
      </c>
      <c r="G6" s="261" t="s">
        <v>479</v>
      </c>
      <c r="H6" s="254" t="s">
        <v>1168</v>
      </c>
      <c r="I6" s="216" t="s">
        <v>1169</v>
      </c>
      <c r="J6" s="438" t="s">
        <v>183</v>
      </c>
      <c r="K6" s="240" t="s">
        <v>1170</v>
      </c>
      <c r="L6" s="452"/>
      <c r="M6" s="234" t="str">
        <f t="shared" si="0"/>
        <v>N/A</v>
      </c>
      <c r="N6" s="239" t="s">
        <v>213</v>
      </c>
      <c r="O6" s="216" t="s">
        <v>214</v>
      </c>
      <c r="P6" s="216" t="s">
        <v>214</v>
      </c>
      <c r="Q6" s="216" t="s">
        <v>214</v>
      </c>
      <c r="R6" s="216" t="s">
        <v>214</v>
      </c>
      <c r="S6" s="216" t="s">
        <v>214</v>
      </c>
      <c r="T6" s="276">
        <f t="shared" ref="T6:T39" si="2">IF(OR(L6="Yes",L6="M3",L6="M4",L6="M5"),3,IF(OR(L6="Partial",L6="M2"),2,IF(L6="N/A",0,1)))</f>
        <v>1</v>
      </c>
      <c r="U6" s="287">
        <f t="shared" ref="U6:U39" si="3">IF(L6="M4",1,IF(L6="M5",2,0))</f>
        <v>0</v>
      </c>
      <c r="V6" s="287">
        <f t="shared" ref="V6:V39" si="4">T6+U6</f>
        <v>1</v>
      </c>
      <c r="W6" s="287">
        <f t="shared" si="1"/>
        <v>1</v>
      </c>
    </row>
    <row r="7" spans="1:23" ht="175.3" x14ac:dyDescent="0.2">
      <c r="A7" s="210" t="s">
        <v>1171</v>
      </c>
      <c r="B7" s="210" t="s">
        <v>208</v>
      </c>
      <c r="C7" s="210" t="s">
        <v>208</v>
      </c>
      <c r="D7" s="210" t="s">
        <v>208</v>
      </c>
      <c r="E7" s="217"/>
      <c r="F7" s="253">
        <v>10.1</v>
      </c>
      <c r="G7" s="253">
        <v>2</v>
      </c>
      <c r="H7" s="254" t="s">
        <v>1172</v>
      </c>
      <c r="I7" s="219" t="s">
        <v>1173</v>
      </c>
      <c r="J7" s="210" t="s">
        <v>183</v>
      </c>
      <c r="K7" s="216" t="s">
        <v>1174</v>
      </c>
      <c r="L7" s="274"/>
      <c r="M7" s="234" t="str">
        <f t="shared" si="0"/>
        <v>N/A</v>
      </c>
      <c r="N7" s="239" t="s">
        <v>213</v>
      </c>
      <c r="O7" s="216" t="s">
        <v>214</v>
      </c>
      <c r="P7" s="216" t="s">
        <v>214</v>
      </c>
      <c r="Q7" s="216" t="s">
        <v>214</v>
      </c>
      <c r="R7" s="216" t="s">
        <v>214</v>
      </c>
      <c r="S7" s="216" t="s">
        <v>214</v>
      </c>
      <c r="T7" s="276">
        <f t="shared" si="2"/>
        <v>1</v>
      </c>
      <c r="U7" s="287">
        <f t="shared" si="3"/>
        <v>0</v>
      </c>
      <c r="V7" s="287">
        <f t="shared" si="4"/>
        <v>1</v>
      </c>
      <c r="W7" s="287">
        <f t="shared" si="1"/>
        <v>1</v>
      </c>
    </row>
    <row r="8" spans="1:23" ht="225.4" x14ac:dyDescent="0.2">
      <c r="A8" s="210" t="s">
        <v>1175</v>
      </c>
      <c r="B8" s="210" t="s">
        <v>208</v>
      </c>
      <c r="C8" s="210" t="s">
        <v>208</v>
      </c>
      <c r="D8" s="210" t="s">
        <v>208</v>
      </c>
      <c r="E8" s="217"/>
      <c r="F8" s="253">
        <v>10.1</v>
      </c>
      <c r="G8" s="253">
        <v>3</v>
      </c>
      <c r="H8" s="254" t="s">
        <v>1176</v>
      </c>
      <c r="I8" s="219" t="s">
        <v>1177</v>
      </c>
      <c r="J8" s="439" t="s">
        <v>183</v>
      </c>
      <c r="K8" s="216" t="s">
        <v>1178</v>
      </c>
      <c r="L8" s="274"/>
      <c r="M8" s="234" t="str">
        <f t="shared" si="0"/>
        <v/>
      </c>
      <c r="N8" s="215" t="s">
        <v>219</v>
      </c>
      <c r="O8" s="216" t="s">
        <v>1179</v>
      </c>
      <c r="P8" s="216" t="s">
        <v>1180</v>
      </c>
      <c r="Q8" s="216" t="s">
        <v>1181</v>
      </c>
      <c r="R8" s="216" t="s">
        <v>1182</v>
      </c>
      <c r="S8" s="216" t="s">
        <v>1183</v>
      </c>
      <c r="T8" s="276">
        <f t="shared" si="2"/>
        <v>1</v>
      </c>
      <c r="U8" s="287">
        <f t="shared" si="3"/>
        <v>0</v>
      </c>
      <c r="V8" s="287">
        <f t="shared" si="4"/>
        <v>1</v>
      </c>
      <c r="W8" s="287">
        <f t="shared" si="1"/>
        <v>1</v>
      </c>
    </row>
    <row r="9" spans="1:23" ht="150.30000000000001" x14ac:dyDescent="0.2">
      <c r="A9" s="210" t="s">
        <v>1184</v>
      </c>
      <c r="B9" s="210" t="s">
        <v>208</v>
      </c>
      <c r="C9" s="210" t="s">
        <v>208</v>
      </c>
      <c r="D9" s="210" t="s">
        <v>208</v>
      </c>
      <c r="E9" s="217"/>
      <c r="F9" s="253">
        <v>10.1</v>
      </c>
      <c r="G9" s="253">
        <v>4</v>
      </c>
      <c r="H9" s="254" t="s">
        <v>1185</v>
      </c>
      <c r="I9" s="219" t="s">
        <v>1186</v>
      </c>
      <c r="J9" s="210" t="s">
        <v>184</v>
      </c>
      <c r="K9" s="216" t="s">
        <v>1187</v>
      </c>
      <c r="L9" s="274"/>
      <c r="M9" s="234" t="str">
        <f t="shared" si="0"/>
        <v/>
      </c>
      <c r="N9" s="215" t="s">
        <v>219</v>
      </c>
      <c r="O9" s="216" t="s">
        <v>1188</v>
      </c>
      <c r="P9" s="216" t="s">
        <v>1189</v>
      </c>
      <c r="Q9" s="216" t="s">
        <v>1190</v>
      </c>
      <c r="R9" s="216" t="s">
        <v>1191</v>
      </c>
      <c r="S9" s="216" t="s">
        <v>1192</v>
      </c>
      <c r="T9" s="276">
        <f t="shared" si="2"/>
        <v>1</v>
      </c>
      <c r="U9" s="287">
        <f t="shared" si="3"/>
        <v>0</v>
      </c>
      <c r="V9" s="287">
        <f t="shared" si="4"/>
        <v>1</v>
      </c>
      <c r="W9" s="287">
        <f t="shared" si="1"/>
        <v>1</v>
      </c>
    </row>
    <row r="10" spans="1:23" ht="37.6" x14ac:dyDescent="0.2">
      <c r="A10" s="210" t="s">
        <v>1193</v>
      </c>
      <c r="B10" s="210" t="s">
        <v>208</v>
      </c>
      <c r="C10" s="210" t="s">
        <v>208</v>
      </c>
      <c r="D10" s="210" t="s">
        <v>208</v>
      </c>
      <c r="E10" s="217"/>
      <c r="F10" s="253">
        <v>10.1</v>
      </c>
      <c r="G10" s="253">
        <v>5</v>
      </c>
      <c r="H10" s="254" t="s">
        <v>1194</v>
      </c>
      <c r="I10" s="219" t="s">
        <v>1195</v>
      </c>
      <c r="J10" s="210" t="s">
        <v>183</v>
      </c>
      <c r="K10" s="244" t="s">
        <v>1196</v>
      </c>
      <c r="L10" s="274"/>
      <c r="M10" s="234" t="str">
        <f t="shared" si="0"/>
        <v>N/A</v>
      </c>
      <c r="N10" s="215" t="s">
        <v>213</v>
      </c>
      <c r="O10" s="216" t="s">
        <v>214</v>
      </c>
      <c r="P10" s="216" t="s">
        <v>214</v>
      </c>
      <c r="Q10" s="216" t="s">
        <v>214</v>
      </c>
      <c r="R10" s="216" t="s">
        <v>214</v>
      </c>
      <c r="S10" s="216" t="s">
        <v>214</v>
      </c>
      <c r="T10" s="276">
        <f t="shared" si="2"/>
        <v>1</v>
      </c>
      <c r="U10" s="287">
        <f t="shared" si="3"/>
        <v>0</v>
      </c>
      <c r="V10" s="287">
        <f t="shared" si="4"/>
        <v>1</v>
      </c>
      <c r="W10" s="287">
        <f t="shared" si="1"/>
        <v>1</v>
      </c>
    </row>
    <row r="11" spans="1:23" ht="25.05" x14ac:dyDescent="0.2">
      <c r="A11" s="210" t="s">
        <v>1197</v>
      </c>
      <c r="B11" s="398" t="s">
        <v>208</v>
      </c>
      <c r="C11" s="379"/>
      <c r="D11" s="379"/>
      <c r="E11" s="440"/>
      <c r="F11" s="253">
        <v>10.1</v>
      </c>
      <c r="G11" s="253">
        <v>6</v>
      </c>
      <c r="H11" s="254" t="s">
        <v>1198</v>
      </c>
      <c r="I11" s="219" t="s">
        <v>1199</v>
      </c>
      <c r="J11" s="264" t="s">
        <v>183</v>
      </c>
      <c r="K11" s="234" t="s">
        <v>1200</v>
      </c>
      <c r="L11" s="274"/>
      <c r="M11" s="234" t="str">
        <f t="shared" si="0"/>
        <v>N/A</v>
      </c>
      <c r="N11" s="239" t="s">
        <v>213</v>
      </c>
      <c r="O11" s="216" t="s">
        <v>214</v>
      </c>
      <c r="P11" s="216" t="s">
        <v>214</v>
      </c>
      <c r="Q11" s="216" t="s">
        <v>214</v>
      </c>
      <c r="R11" s="216" t="s">
        <v>214</v>
      </c>
      <c r="S11" s="216" t="s">
        <v>214</v>
      </c>
      <c r="T11" s="276">
        <f t="shared" si="2"/>
        <v>1</v>
      </c>
      <c r="U11" s="287">
        <f t="shared" si="3"/>
        <v>0</v>
      </c>
      <c r="V11" s="287">
        <f t="shared" si="4"/>
        <v>1</v>
      </c>
      <c r="W11" s="287">
        <f t="shared" si="1"/>
        <v>1</v>
      </c>
    </row>
    <row r="12" spans="1:23" s="287" customFormat="1" x14ac:dyDescent="0.2">
      <c r="A12" s="298"/>
      <c r="B12" s="298"/>
      <c r="C12" s="298"/>
      <c r="D12" s="298"/>
      <c r="E12" s="299"/>
      <c r="F12" s="441" t="s">
        <v>1201</v>
      </c>
      <c r="G12" s="442"/>
      <c r="H12" s="443"/>
      <c r="I12" s="444"/>
      <c r="J12" s="298"/>
      <c r="K12" s="445"/>
      <c r="L12" s="303"/>
      <c r="M12" s="303"/>
      <c r="N12" s="303"/>
      <c r="O12" s="303"/>
      <c r="P12" s="303"/>
      <c r="Q12" s="303"/>
      <c r="R12" s="303"/>
      <c r="S12" s="303"/>
      <c r="T12" s="276">
        <f t="shared" si="2"/>
        <v>1</v>
      </c>
      <c r="U12" s="287">
        <f t="shared" si="3"/>
        <v>0</v>
      </c>
      <c r="V12" s="287">
        <f t="shared" si="4"/>
        <v>1</v>
      </c>
    </row>
    <row r="13" spans="1:23" ht="187.85" x14ac:dyDescent="0.2">
      <c r="A13" s="210" t="s">
        <v>1202</v>
      </c>
      <c r="B13" s="210" t="s">
        <v>208</v>
      </c>
      <c r="C13" s="210" t="s">
        <v>208</v>
      </c>
      <c r="D13" s="210" t="s">
        <v>208</v>
      </c>
      <c r="E13" s="217"/>
      <c r="F13" s="253">
        <v>10.199999999999999</v>
      </c>
      <c r="G13" s="253"/>
      <c r="H13" s="254">
        <v>10.199999999999999</v>
      </c>
      <c r="I13" s="219" t="s">
        <v>1203</v>
      </c>
      <c r="J13" s="210" t="s">
        <v>182</v>
      </c>
      <c r="K13" s="216" t="s">
        <v>1204</v>
      </c>
      <c r="L13" s="274"/>
      <c r="M13" s="234" t="str">
        <f>IFERROR(IF(N13="Maturity",HLOOKUP(L13,$O$2:$S$200,ROW()-1,0),"N/A"),"")</f>
        <v>N/A</v>
      </c>
      <c r="N13" s="239" t="s">
        <v>213</v>
      </c>
      <c r="O13" s="216" t="s">
        <v>214</v>
      </c>
      <c r="P13" s="216" t="s">
        <v>214</v>
      </c>
      <c r="Q13" s="216" t="s">
        <v>214</v>
      </c>
      <c r="R13" s="216" t="s">
        <v>214</v>
      </c>
      <c r="S13" s="216" t="s">
        <v>214</v>
      </c>
      <c r="T13" s="276">
        <f t="shared" si="2"/>
        <v>1</v>
      </c>
      <c r="U13" s="287">
        <f t="shared" si="3"/>
        <v>0</v>
      </c>
      <c r="V13" s="287">
        <f t="shared" si="4"/>
        <v>1</v>
      </c>
      <c r="W13" s="287">
        <f t="shared" si="1"/>
        <v>1</v>
      </c>
    </row>
    <row r="14" spans="1:23" s="287" customFormat="1" x14ac:dyDescent="0.2">
      <c r="A14" s="298"/>
      <c r="B14" s="298"/>
      <c r="C14" s="298"/>
      <c r="D14" s="298"/>
      <c r="E14" s="299"/>
      <c r="F14" s="441" t="s">
        <v>1205</v>
      </c>
      <c r="G14" s="442"/>
      <c r="H14" s="443"/>
      <c r="I14" s="446"/>
      <c r="J14" s="298"/>
      <c r="K14" s="445"/>
      <c r="L14" s="303"/>
      <c r="M14" s="303"/>
      <c r="N14" s="303"/>
      <c r="O14" s="303"/>
      <c r="P14" s="303"/>
      <c r="Q14" s="303"/>
      <c r="R14" s="303"/>
      <c r="S14" s="447"/>
      <c r="T14" s="276">
        <f t="shared" si="2"/>
        <v>1</v>
      </c>
      <c r="U14" s="287">
        <f t="shared" si="3"/>
        <v>0</v>
      </c>
      <c r="V14" s="287">
        <f t="shared" si="4"/>
        <v>1</v>
      </c>
    </row>
    <row r="15" spans="1:23" ht="50.1" x14ac:dyDescent="0.2">
      <c r="A15" s="210" t="s">
        <v>1206</v>
      </c>
      <c r="B15" s="210" t="s">
        <v>208</v>
      </c>
      <c r="C15" s="210" t="s">
        <v>208</v>
      </c>
      <c r="D15" s="210" t="s">
        <v>208</v>
      </c>
      <c r="E15" s="217"/>
      <c r="F15" s="253" t="s">
        <v>1207</v>
      </c>
      <c r="G15" s="253">
        <v>1</v>
      </c>
      <c r="H15" s="254" t="s">
        <v>1208</v>
      </c>
      <c r="I15" s="219" t="s">
        <v>1209</v>
      </c>
      <c r="J15" s="210" t="s">
        <v>183</v>
      </c>
      <c r="K15" s="221" t="s">
        <v>1210</v>
      </c>
      <c r="L15" s="274"/>
      <c r="M15" s="234" t="str">
        <f t="shared" ref="M15:M36" si="5">IFERROR(IF(N15="Maturity",HLOOKUP(L15,$O$2:$S$200,ROW()-1,0),"N/A"),"")</f>
        <v>N/A</v>
      </c>
      <c r="N15" s="210" t="s">
        <v>213</v>
      </c>
      <c r="O15" s="216" t="s">
        <v>214</v>
      </c>
      <c r="P15" s="216" t="s">
        <v>214</v>
      </c>
      <c r="Q15" s="216" t="s">
        <v>214</v>
      </c>
      <c r="R15" s="216" t="s">
        <v>214</v>
      </c>
      <c r="S15" s="216" t="s">
        <v>214</v>
      </c>
      <c r="T15" s="276">
        <f t="shared" si="2"/>
        <v>1</v>
      </c>
      <c r="U15" s="287">
        <f t="shared" si="3"/>
        <v>0</v>
      </c>
      <c r="V15" s="287">
        <f t="shared" si="4"/>
        <v>1</v>
      </c>
      <c r="W15" s="287">
        <f t="shared" si="1"/>
        <v>1</v>
      </c>
    </row>
    <row r="16" spans="1:23" ht="187.85" x14ac:dyDescent="0.2">
      <c r="A16" s="210" t="s">
        <v>1211</v>
      </c>
      <c r="B16" s="210" t="s">
        <v>208</v>
      </c>
      <c r="C16" s="210" t="s">
        <v>208</v>
      </c>
      <c r="D16" s="210" t="s">
        <v>208</v>
      </c>
      <c r="E16" s="217"/>
      <c r="F16" s="253" t="s">
        <v>1207</v>
      </c>
      <c r="G16" s="253">
        <v>2</v>
      </c>
      <c r="H16" s="254" t="s">
        <v>1212</v>
      </c>
      <c r="I16" s="219" t="s">
        <v>1213</v>
      </c>
      <c r="J16" s="210" t="s">
        <v>183</v>
      </c>
      <c r="K16" s="216" t="s">
        <v>1214</v>
      </c>
      <c r="L16" s="274"/>
      <c r="M16" s="234" t="str">
        <f t="shared" si="5"/>
        <v>N/A</v>
      </c>
      <c r="N16" s="210" t="s">
        <v>213</v>
      </c>
      <c r="O16" s="216" t="s">
        <v>214</v>
      </c>
      <c r="P16" s="216" t="s">
        <v>214</v>
      </c>
      <c r="Q16" s="216" t="s">
        <v>214</v>
      </c>
      <c r="R16" s="216" t="s">
        <v>214</v>
      </c>
      <c r="S16" s="216" t="s">
        <v>214</v>
      </c>
      <c r="T16" s="276">
        <f t="shared" si="2"/>
        <v>1</v>
      </c>
      <c r="U16" s="287">
        <f t="shared" si="3"/>
        <v>0</v>
      </c>
      <c r="V16" s="287">
        <f t="shared" si="4"/>
        <v>1</v>
      </c>
      <c r="W16" s="287">
        <f t="shared" si="1"/>
        <v>1</v>
      </c>
    </row>
    <row r="17" spans="1:23" s="357" customFormat="1" ht="150.30000000000001" x14ac:dyDescent="0.2">
      <c r="A17" s="210" t="s">
        <v>1215</v>
      </c>
      <c r="B17" s="215" t="s">
        <v>208</v>
      </c>
      <c r="C17" s="215" t="s">
        <v>208</v>
      </c>
      <c r="D17" s="215" t="s">
        <v>208</v>
      </c>
      <c r="E17" s="346"/>
      <c r="F17" s="253" t="s">
        <v>1216</v>
      </c>
      <c r="G17" s="253">
        <v>1</v>
      </c>
      <c r="H17" s="254" t="s">
        <v>1217</v>
      </c>
      <c r="I17" s="219" t="s">
        <v>1218</v>
      </c>
      <c r="J17" s="215" t="s">
        <v>182</v>
      </c>
      <c r="K17" s="216" t="s">
        <v>1219</v>
      </c>
      <c r="L17" s="274"/>
      <c r="M17" s="234" t="str">
        <f t="shared" si="5"/>
        <v>N/A</v>
      </c>
      <c r="N17" s="215" t="s">
        <v>213</v>
      </c>
      <c r="O17" s="216" t="s">
        <v>214</v>
      </c>
      <c r="P17" s="216" t="s">
        <v>214</v>
      </c>
      <c r="Q17" s="216" t="s">
        <v>214</v>
      </c>
      <c r="R17" s="216" t="s">
        <v>214</v>
      </c>
      <c r="S17" s="216" t="s">
        <v>214</v>
      </c>
      <c r="T17" s="276">
        <f t="shared" si="2"/>
        <v>1</v>
      </c>
      <c r="U17" s="287">
        <f t="shared" si="3"/>
        <v>0</v>
      </c>
      <c r="V17" s="287">
        <f t="shared" si="4"/>
        <v>1</v>
      </c>
      <c r="W17" s="287">
        <f t="shared" si="1"/>
        <v>1</v>
      </c>
    </row>
    <row r="18" spans="1:23" ht="50.1" x14ac:dyDescent="0.2">
      <c r="A18" s="210" t="s">
        <v>1220</v>
      </c>
      <c r="B18" s="210" t="s">
        <v>208</v>
      </c>
      <c r="C18" s="210" t="s">
        <v>208</v>
      </c>
      <c r="D18" s="210" t="s">
        <v>208</v>
      </c>
      <c r="E18" s="217"/>
      <c r="F18" s="253" t="s">
        <v>1221</v>
      </c>
      <c r="G18" s="253">
        <v>1</v>
      </c>
      <c r="H18" s="254" t="s">
        <v>1222</v>
      </c>
      <c r="I18" s="219" t="s">
        <v>1223</v>
      </c>
      <c r="J18" s="210" t="s">
        <v>183</v>
      </c>
      <c r="K18" s="216" t="s">
        <v>1224</v>
      </c>
      <c r="L18" s="274"/>
      <c r="M18" s="234" t="str">
        <f t="shared" si="5"/>
        <v>N/A</v>
      </c>
      <c r="N18" s="210" t="s">
        <v>213</v>
      </c>
      <c r="O18" s="216" t="s">
        <v>214</v>
      </c>
      <c r="P18" s="344" t="s">
        <v>214</v>
      </c>
      <c r="Q18" s="344" t="s">
        <v>214</v>
      </c>
      <c r="R18" s="344" t="s">
        <v>214</v>
      </c>
      <c r="S18" s="344" t="s">
        <v>214</v>
      </c>
      <c r="T18" s="276">
        <f t="shared" si="2"/>
        <v>1</v>
      </c>
      <c r="U18" s="287">
        <f t="shared" si="3"/>
        <v>0</v>
      </c>
      <c r="V18" s="287">
        <f t="shared" si="4"/>
        <v>1</v>
      </c>
      <c r="W18" s="287">
        <f t="shared" si="1"/>
        <v>1</v>
      </c>
    </row>
    <row r="19" spans="1:23" ht="75.150000000000006" x14ac:dyDescent="0.2">
      <c r="A19" s="210" t="s">
        <v>1225</v>
      </c>
      <c r="B19" s="210" t="s">
        <v>208</v>
      </c>
      <c r="C19" s="210" t="s">
        <v>208</v>
      </c>
      <c r="D19" s="210" t="s">
        <v>208</v>
      </c>
      <c r="E19" s="217"/>
      <c r="F19" s="253" t="s">
        <v>1221</v>
      </c>
      <c r="G19" s="253">
        <v>2</v>
      </c>
      <c r="H19" s="254" t="s">
        <v>1226</v>
      </c>
      <c r="I19" s="219" t="s">
        <v>1227</v>
      </c>
      <c r="J19" s="210" t="s">
        <v>183</v>
      </c>
      <c r="K19" s="216" t="s">
        <v>1228</v>
      </c>
      <c r="L19" s="274"/>
      <c r="M19" s="234" t="str">
        <f t="shared" si="5"/>
        <v>N/A</v>
      </c>
      <c r="N19" s="210" t="s">
        <v>213</v>
      </c>
      <c r="O19" s="344" t="s">
        <v>214</v>
      </c>
      <c r="P19" s="344" t="s">
        <v>214</v>
      </c>
      <c r="Q19" s="344" t="s">
        <v>214</v>
      </c>
      <c r="R19" s="344" t="s">
        <v>214</v>
      </c>
      <c r="S19" s="344" t="s">
        <v>214</v>
      </c>
      <c r="T19" s="276">
        <f t="shared" si="2"/>
        <v>1</v>
      </c>
      <c r="U19" s="287">
        <f t="shared" si="3"/>
        <v>0</v>
      </c>
      <c r="V19" s="287">
        <f t="shared" si="4"/>
        <v>1</v>
      </c>
      <c r="W19" s="287">
        <f t="shared" si="1"/>
        <v>1</v>
      </c>
    </row>
    <row r="20" spans="1:23" ht="75.150000000000006" x14ac:dyDescent="0.2">
      <c r="A20" s="210" t="s">
        <v>1229</v>
      </c>
      <c r="B20" s="210" t="s">
        <v>208</v>
      </c>
      <c r="C20" s="210" t="s">
        <v>208</v>
      </c>
      <c r="D20" s="210" t="s">
        <v>208</v>
      </c>
      <c r="E20" s="217"/>
      <c r="F20" s="253" t="s">
        <v>1221</v>
      </c>
      <c r="G20" s="253">
        <v>3</v>
      </c>
      <c r="H20" s="254" t="s">
        <v>1230</v>
      </c>
      <c r="I20" s="219" t="s">
        <v>1231</v>
      </c>
      <c r="J20" s="210" t="s">
        <v>183</v>
      </c>
      <c r="K20" s="216" t="s">
        <v>1232</v>
      </c>
      <c r="L20" s="274"/>
      <c r="M20" s="234" t="str">
        <f t="shared" si="5"/>
        <v>N/A</v>
      </c>
      <c r="N20" s="210" t="s">
        <v>213</v>
      </c>
      <c r="O20" s="344" t="s">
        <v>214</v>
      </c>
      <c r="P20" s="344" t="s">
        <v>214</v>
      </c>
      <c r="Q20" s="344" t="s">
        <v>214</v>
      </c>
      <c r="R20" s="344" t="s">
        <v>214</v>
      </c>
      <c r="S20" s="344" t="s">
        <v>214</v>
      </c>
      <c r="T20" s="276">
        <f t="shared" si="2"/>
        <v>1</v>
      </c>
      <c r="U20" s="287">
        <f t="shared" si="3"/>
        <v>0</v>
      </c>
      <c r="V20" s="287">
        <f t="shared" si="4"/>
        <v>1</v>
      </c>
      <c r="W20" s="287">
        <f t="shared" si="1"/>
        <v>1</v>
      </c>
    </row>
    <row r="21" spans="1:23" ht="125.25" x14ac:dyDescent="0.2">
      <c r="A21" s="210" t="s">
        <v>1233</v>
      </c>
      <c r="B21" s="210" t="s">
        <v>208</v>
      </c>
      <c r="C21" s="210" t="s">
        <v>208</v>
      </c>
      <c r="D21" s="210" t="s">
        <v>208</v>
      </c>
      <c r="E21" s="217"/>
      <c r="F21" s="253" t="s">
        <v>1234</v>
      </c>
      <c r="G21" s="253">
        <v>1</v>
      </c>
      <c r="H21" s="254" t="s">
        <v>1235</v>
      </c>
      <c r="I21" s="219" t="s">
        <v>1236</v>
      </c>
      <c r="J21" s="210" t="s">
        <v>183</v>
      </c>
      <c r="K21" s="216" t="s">
        <v>1237</v>
      </c>
      <c r="L21" s="274"/>
      <c r="M21" s="234" t="str">
        <f t="shared" si="5"/>
        <v/>
      </c>
      <c r="N21" s="210" t="s">
        <v>219</v>
      </c>
      <c r="O21" s="244" t="s">
        <v>1238</v>
      </c>
      <c r="P21" s="244" t="s">
        <v>1239</v>
      </c>
      <c r="Q21" s="244" t="s">
        <v>1240</v>
      </c>
      <c r="R21" s="310" t="s">
        <v>1241</v>
      </c>
      <c r="S21" s="310" t="s">
        <v>1242</v>
      </c>
      <c r="T21" s="276">
        <f t="shared" si="2"/>
        <v>1</v>
      </c>
      <c r="U21" s="287">
        <f t="shared" si="3"/>
        <v>0</v>
      </c>
      <c r="V21" s="287">
        <f t="shared" si="4"/>
        <v>1</v>
      </c>
      <c r="W21" s="287">
        <f t="shared" ref="W21:W39" si="6">IF(ISBLANK(L21),1,0)</f>
        <v>1</v>
      </c>
    </row>
    <row r="22" spans="1:23" ht="112.7" x14ac:dyDescent="0.2">
      <c r="A22" s="210" t="s">
        <v>1243</v>
      </c>
      <c r="B22" s="210" t="s">
        <v>208</v>
      </c>
      <c r="C22" s="210" t="s">
        <v>208</v>
      </c>
      <c r="D22" s="210" t="s">
        <v>208</v>
      </c>
      <c r="E22" s="217"/>
      <c r="F22" s="253" t="s">
        <v>1234</v>
      </c>
      <c r="G22" s="253">
        <v>2</v>
      </c>
      <c r="H22" s="254" t="s">
        <v>1244</v>
      </c>
      <c r="I22" s="219" t="s">
        <v>1245</v>
      </c>
      <c r="J22" s="210" t="s">
        <v>183</v>
      </c>
      <c r="K22" s="216" t="s">
        <v>1246</v>
      </c>
      <c r="L22" s="274"/>
      <c r="M22" s="234" t="str">
        <f t="shared" si="5"/>
        <v/>
      </c>
      <c r="N22" s="210" t="s">
        <v>219</v>
      </c>
      <c r="O22" s="216" t="s">
        <v>1247</v>
      </c>
      <c r="P22" s="216" t="s">
        <v>1248</v>
      </c>
      <c r="Q22" s="216" t="s">
        <v>1249</v>
      </c>
      <c r="R22" s="218" t="s">
        <v>1250</v>
      </c>
      <c r="S22" s="218" t="s">
        <v>1251</v>
      </c>
      <c r="T22" s="276">
        <f t="shared" si="2"/>
        <v>1</v>
      </c>
      <c r="U22" s="287">
        <f t="shared" si="3"/>
        <v>0</v>
      </c>
      <c r="V22" s="287">
        <f t="shared" si="4"/>
        <v>1</v>
      </c>
      <c r="W22" s="287">
        <f t="shared" si="6"/>
        <v>1</v>
      </c>
    </row>
    <row r="23" spans="1:23" ht="162.80000000000001" x14ac:dyDescent="0.2">
      <c r="A23" s="210" t="s">
        <v>1252</v>
      </c>
      <c r="B23" s="210" t="s">
        <v>208</v>
      </c>
      <c r="C23" s="210" t="s">
        <v>208</v>
      </c>
      <c r="D23" s="210" t="s">
        <v>208</v>
      </c>
      <c r="E23" s="217"/>
      <c r="F23" s="253" t="s">
        <v>1234</v>
      </c>
      <c r="G23" s="253">
        <v>3</v>
      </c>
      <c r="H23" s="254" t="s">
        <v>1253</v>
      </c>
      <c r="I23" s="219" t="s">
        <v>1254</v>
      </c>
      <c r="J23" s="210" t="s">
        <v>183</v>
      </c>
      <c r="K23" s="244" t="s">
        <v>1255</v>
      </c>
      <c r="L23" s="274"/>
      <c r="M23" s="234" t="str">
        <f t="shared" si="5"/>
        <v/>
      </c>
      <c r="N23" s="215" t="s">
        <v>219</v>
      </c>
      <c r="O23" s="216" t="s">
        <v>1256</v>
      </c>
      <c r="P23" s="216" t="s">
        <v>1257</v>
      </c>
      <c r="Q23" s="216" t="s">
        <v>1258</v>
      </c>
      <c r="R23" s="216" t="s">
        <v>1259</v>
      </c>
      <c r="S23" s="244" t="s">
        <v>1260</v>
      </c>
      <c r="T23" s="276">
        <f t="shared" si="2"/>
        <v>1</v>
      </c>
      <c r="U23" s="287">
        <f t="shared" si="3"/>
        <v>0</v>
      </c>
      <c r="V23" s="287">
        <f t="shared" si="4"/>
        <v>1</v>
      </c>
      <c r="W23" s="287">
        <f t="shared" si="6"/>
        <v>1</v>
      </c>
    </row>
    <row r="24" spans="1:23" ht="87.65" x14ac:dyDescent="0.2">
      <c r="A24" s="210" t="s">
        <v>1261</v>
      </c>
      <c r="B24" s="361" t="s">
        <v>208</v>
      </c>
      <c r="C24" s="362"/>
      <c r="D24" s="362"/>
      <c r="E24" s="448"/>
      <c r="F24" s="253" t="s">
        <v>1234</v>
      </c>
      <c r="G24" s="253">
        <v>4</v>
      </c>
      <c r="H24" s="254" t="s">
        <v>1262</v>
      </c>
      <c r="I24" s="219" t="s">
        <v>1263</v>
      </c>
      <c r="J24" s="210" t="s">
        <v>183</v>
      </c>
      <c r="K24" s="216" t="s">
        <v>1264</v>
      </c>
      <c r="L24" s="274"/>
      <c r="M24" s="234" t="str">
        <f t="shared" si="5"/>
        <v>N/A</v>
      </c>
      <c r="N24" s="210" t="s">
        <v>213</v>
      </c>
      <c r="O24" s="344" t="s">
        <v>214</v>
      </c>
      <c r="P24" s="344" t="s">
        <v>214</v>
      </c>
      <c r="Q24" s="344" t="s">
        <v>214</v>
      </c>
      <c r="R24" s="344" t="s">
        <v>214</v>
      </c>
      <c r="S24" s="344" t="s">
        <v>214</v>
      </c>
      <c r="T24" s="276">
        <f t="shared" si="2"/>
        <v>1</v>
      </c>
      <c r="U24" s="287">
        <f t="shared" si="3"/>
        <v>0</v>
      </c>
      <c r="V24" s="287">
        <f t="shared" si="4"/>
        <v>1</v>
      </c>
      <c r="W24" s="287">
        <f t="shared" si="6"/>
        <v>1</v>
      </c>
    </row>
    <row r="25" spans="1:23" ht="162.80000000000001" x14ac:dyDescent="0.2">
      <c r="A25" s="210" t="s">
        <v>1265</v>
      </c>
      <c r="B25" s="210" t="s">
        <v>208</v>
      </c>
      <c r="C25" s="210" t="s">
        <v>208</v>
      </c>
      <c r="D25" s="210" t="s">
        <v>208</v>
      </c>
      <c r="E25" s="217"/>
      <c r="F25" s="253" t="s">
        <v>1266</v>
      </c>
      <c r="G25" s="253">
        <v>1</v>
      </c>
      <c r="H25" s="254" t="s">
        <v>1267</v>
      </c>
      <c r="I25" s="219" t="s">
        <v>1268</v>
      </c>
      <c r="J25" s="210" t="s">
        <v>182</v>
      </c>
      <c r="K25" s="244" t="s">
        <v>1269</v>
      </c>
      <c r="L25" s="274"/>
      <c r="M25" s="234" t="str">
        <f t="shared" si="5"/>
        <v>N/A</v>
      </c>
      <c r="N25" s="210" t="s">
        <v>213</v>
      </c>
      <c r="O25" s="344" t="s">
        <v>214</v>
      </c>
      <c r="P25" s="344" t="s">
        <v>214</v>
      </c>
      <c r="Q25" s="344" t="s">
        <v>214</v>
      </c>
      <c r="R25" s="344" t="s">
        <v>214</v>
      </c>
      <c r="S25" s="344" t="s">
        <v>214</v>
      </c>
      <c r="T25" s="276">
        <f t="shared" si="2"/>
        <v>1</v>
      </c>
      <c r="U25" s="287">
        <f t="shared" si="3"/>
        <v>0</v>
      </c>
      <c r="V25" s="287">
        <f t="shared" si="4"/>
        <v>1</v>
      </c>
      <c r="W25" s="287">
        <f t="shared" si="6"/>
        <v>1</v>
      </c>
    </row>
    <row r="26" spans="1:23" ht="100.2" x14ac:dyDescent="0.2">
      <c r="A26" s="210" t="s">
        <v>1270</v>
      </c>
      <c r="B26" s="210" t="s">
        <v>208</v>
      </c>
      <c r="C26" s="210" t="s">
        <v>208</v>
      </c>
      <c r="D26" s="210" t="s">
        <v>208</v>
      </c>
      <c r="E26" s="217"/>
      <c r="F26" s="253" t="s">
        <v>1266</v>
      </c>
      <c r="G26" s="253">
        <v>2</v>
      </c>
      <c r="H26" s="254" t="s">
        <v>1271</v>
      </c>
      <c r="I26" s="219" t="s">
        <v>1272</v>
      </c>
      <c r="J26" s="210" t="s">
        <v>183</v>
      </c>
      <c r="K26" s="216" t="s">
        <v>1273</v>
      </c>
      <c r="L26" s="274"/>
      <c r="M26" s="234" t="str">
        <f t="shared" si="5"/>
        <v>N/A</v>
      </c>
      <c r="N26" s="210" t="s">
        <v>213</v>
      </c>
      <c r="O26" s="216" t="s">
        <v>214</v>
      </c>
      <c r="P26" s="216" t="s">
        <v>214</v>
      </c>
      <c r="Q26" s="216" t="s">
        <v>214</v>
      </c>
      <c r="R26" s="216" t="s">
        <v>214</v>
      </c>
      <c r="S26" s="216" t="s">
        <v>214</v>
      </c>
      <c r="T26" s="276">
        <f t="shared" si="2"/>
        <v>1</v>
      </c>
      <c r="U26" s="287">
        <f t="shared" si="3"/>
        <v>0</v>
      </c>
      <c r="V26" s="287">
        <f t="shared" si="4"/>
        <v>1</v>
      </c>
      <c r="W26" s="287">
        <f t="shared" si="6"/>
        <v>1</v>
      </c>
    </row>
    <row r="27" spans="1:23" ht="50.1" x14ac:dyDescent="0.2">
      <c r="A27" s="210" t="s">
        <v>1274</v>
      </c>
      <c r="B27" s="210" t="s">
        <v>208</v>
      </c>
      <c r="C27" s="210" t="s">
        <v>208</v>
      </c>
      <c r="D27" s="210" t="s">
        <v>208</v>
      </c>
      <c r="E27" s="217"/>
      <c r="F27" s="253" t="s">
        <v>1266</v>
      </c>
      <c r="G27" s="253">
        <v>3</v>
      </c>
      <c r="H27" s="254" t="s">
        <v>1275</v>
      </c>
      <c r="I27" s="219" t="s">
        <v>1276</v>
      </c>
      <c r="J27" s="210" t="s">
        <v>183</v>
      </c>
      <c r="K27" s="216" t="s">
        <v>1277</v>
      </c>
      <c r="L27" s="274"/>
      <c r="M27" s="234" t="str">
        <f t="shared" si="5"/>
        <v>N/A</v>
      </c>
      <c r="N27" s="210" t="s">
        <v>213</v>
      </c>
      <c r="O27" s="216" t="s">
        <v>214</v>
      </c>
      <c r="P27" s="216" t="s">
        <v>214</v>
      </c>
      <c r="Q27" s="216" t="s">
        <v>214</v>
      </c>
      <c r="R27" s="216" t="s">
        <v>214</v>
      </c>
      <c r="S27" s="216" t="s">
        <v>214</v>
      </c>
      <c r="T27" s="276">
        <f t="shared" si="2"/>
        <v>1</v>
      </c>
      <c r="U27" s="287">
        <f t="shared" si="3"/>
        <v>0</v>
      </c>
      <c r="V27" s="287">
        <f t="shared" si="4"/>
        <v>1</v>
      </c>
      <c r="W27" s="287">
        <f t="shared" si="6"/>
        <v>1</v>
      </c>
    </row>
    <row r="28" spans="1:23" ht="37.6" x14ac:dyDescent="0.2">
      <c r="A28" s="210" t="s">
        <v>1278</v>
      </c>
      <c r="B28" s="210" t="s">
        <v>208</v>
      </c>
      <c r="C28" s="210" t="s">
        <v>208</v>
      </c>
      <c r="D28" s="210" t="s">
        <v>208</v>
      </c>
      <c r="E28" s="217"/>
      <c r="F28" s="253" t="s">
        <v>1266</v>
      </c>
      <c r="G28" s="253">
        <v>4</v>
      </c>
      <c r="H28" s="254" t="s">
        <v>1279</v>
      </c>
      <c r="I28" s="219" t="s">
        <v>1280</v>
      </c>
      <c r="J28" s="210" t="s">
        <v>183</v>
      </c>
      <c r="K28" s="216" t="s">
        <v>1281</v>
      </c>
      <c r="L28" s="274"/>
      <c r="M28" s="234" t="str">
        <f t="shared" si="5"/>
        <v>N/A</v>
      </c>
      <c r="N28" s="210" t="s">
        <v>213</v>
      </c>
      <c r="O28" s="216" t="s">
        <v>214</v>
      </c>
      <c r="P28" s="216" t="s">
        <v>214</v>
      </c>
      <c r="Q28" s="216" t="s">
        <v>214</v>
      </c>
      <c r="R28" s="216" t="s">
        <v>214</v>
      </c>
      <c r="S28" s="216" t="s">
        <v>214</v>
      </c>
      <c r="T28" s="276">
        <f t="shared" si="2"/>
        <v>1</v>
      </c>
      <c r="U28" s="287">
        <f t="shared" si="3"/>
        <v>0</v>
      </c>
      <c r="V28" s="287">
        <f t="shared" si="4"/>
        <v>1</v>
      </c>
      <c r="W28" s="287">
        <f t="shared" si="6"/>
        <v>1</v>
      </c>
    </row>
    <row r="29" spans="1:23" ht="50.1" x14ac:dyDescent="0.2">
      <c r="A29" s="210" t="s">
        <v>1282</v>
      </c>
      <c r="B29" s="210" t="s">
        <v>208</v>
      </c>
      <c r="C29" s="210" t="s">
        <v>208</v>
      </c>
      <c r="D29" s="210" t="s">
        <v>208</v>
      </c>
      <c r="E29" s="217"/>
      <c r="F29" s="253" t="s">
        <v>1266</v>
      </c>
      <c r="G29" s="253">
        <v>5</v>
      </c>
      <c r="H29" s="254" t="s">
        <v>1283</v>
      </c>
      <c r="I29" s="219" t="s">
        <v>1284</v>
      </c>
      <c r="J29" s="210" t="s">
        <v>183</v>
      </c>
      <c r="K29" s="216" t="s">
        <v>1285</v>
      </c>
      <c r="L29" s="274"/>
      <c r="M29" s="234" t="str">
        <f t="shared" si="5"/>
        <v>N/A</v>
      </c>
      <c r="N29" s="210" t="s">
        <v>213</v>
      </c>
      <c r="O29" s="216" t="s">
        <v>214</v>
      </c>
      <c r="P29" s="216" t="s">
        <v>214</v>
      </c>
      <c r="Q29" s="216" t="s">
        <v>214</v>
      </c>
      <c r="R29" s="216" t="s">
        <v>214</v>
      </c>
      <c r="S29" s="216" t="s">
        <v>214</v>
      </c>
      <c r="T29" s="276">
        <f t="shared" si="2"/>
        <v>1</v>
      </c>
      <c r="U29" s="287">
        <f t="shared" si="3"/>
        <v>0</v>
      </c>
      <c r="V29" s="287">
        <f t="shared" si="4"/>
        <v>1</v>
      </c>
      <c r="W29" s="287">
        <f t="shared" si="6"/>
        <v>1</v>
      </c>
    </row>
    <row r="30" spans="1:23" ht="87.65" x14ac:dyDescent="0.2">
      <c r="A30" s="210" t="s">
        <v>1286</v>
      </c>
      <c r="B30" s="210" t="s">
        <v>208</v>
      </c>
      <c r="C30" s="210" t="s">
        <v>208</v>
      </c>
      <c r="D30" s="210" t="s">
        <v>208</v>
      </c>
      <c r="E30" s="217"/>
      <c r="F30" s="253" t="s">
        <v>1287</v>
      </c>
      <c r="G30" s="253">
        <v>1</v>
      </c>
      <c r="H30" s="254" t="s">
        <v>1288</v>
      </c>
      <c r="I30" s="219" t="s">
        <v>1289</v>
      </c>
      <c r="J30" s="210" t="s">
        <v>183</v>
      </c>
      <c r="K30" s="216" t="s">
        <v>1290</v>
      </c>
      <c r="L30" s="274"/>
      <c r="M30" s="234" t="str">
        <f t="shared" si="5"/>
        <v>N/A</v>
      </c>
      <c r="N30" s="210" t="s">
        <v>213</v>
      </c>
      <c r="O30" s="216" t="s">
        <v>214</v>
      </c>
      <c r="P30" s="216" t="s">
        <v>214</v>
      </c>
      <c r="Q30" s="216" t="s">
        <v>214</v>
      </c>
      <c r="R30" s="216" t="s">
        <v>214</v>
      </c>
      <c r="S30" s="216" t="s">
        <v>214</v>
      </c>
      <c r="T30" s="276">
        <f t="shared" si="2"/>
        <v>1</v>
      </c>
      <c r="U30" s="287">
        <f t="shared" si="3"/>
        <v>0</v>
      </c>
      <c r="V30" s="287">
        <f t="shared" si="4"/>
        <v>1</v>
      </c>
      <c r="W30" s="287">
        <f t="shared" si="6"/>
        <v>1</v>
      </c>
    </row>
    <row r="31" spans="1:23" ht="175.3" x14ac:dyDescent="0.2">
      <c r="A31" s="210" t="s">
        <v>1291</v>
      </c>
      <c r="B31" s="210" t="s">
        <v>208</v>
      </c>
      <c r="C31" s="210" t="s">
        <v>208</v>
      </c>
      <c r="D31" s="210" t="s">
        <v>208</v>
      </c>
      <c r="E31" s="217"/>
      <c r="F31" s="253" t="s">
        <v>1292</v>
      </c>
      <c r="G31" s="253">
        <v>1</v>
      </c>
      <c r="H31" s="254" t="s">
        <v>1293</v>
      </c>
      <c r="I31" s="219" t="s">
        <v>1294</v>
      </c>
      <c r="J31" s="210" t="s">
        <v>183</v>
      </c>
      <c r="K31" s="216" t="s">
        <v>1295</v>
      </c>
      <c r="L31" s="274"/>
      <c r="M31" s="234" t="str">
        <f t="shared" si="5"/>
        <v/>
      </c>
      <c r="N31" s="210" t="s">
        <v>219</v>
      </c>
      <c r="O31" s="216" t="s">
        <v>1296</v>
      </c>
      <c r="P31" s="216" t="s">
        <v>1297</v>
      </c>
      <c r="Q31" s="216" t="s">
        <v>1298</v>
      </c>
      <c r="R31" s="218" t="s">
        <v>1299</v>
      </c>
      <c r="S31" s="310" t="s">
        <v>1300</v>
      </c>
      <c r="T31" s="276">
        <f t="shared" si="2"/>
        <v>1</v>
      </c>
      <c r="U31" s="287">
        <f t="shared" si="3"/>
        <v>0</v>
      </c>
      <c r="V31" s="287">
        <f t="shared" si="4"/>
        <v>1</v>
      </c>
      <c r="W31" s="287">
        <f t="shared" si="6"/>
        <v>1</v>
      </c>
    </row>
    <row r="32" spans="1:23" ht="75.150000000000006" x14ac:dyDescent="0.2">
      <c r="A32" s="210" t="s">
        <v>1301</v>
      </c>
      <c r="B32" s="210" t="s">
        <v>208</v>
      </c>
      <c r="C32" s="210" t="s">
        <v>208</v>
      </c>
      <c r="D32" s="210" t="s">
        <v>208</v>
      </c>
      <c r="E32" s="217"/>
      <c r="F32" s="253" t="s">
        <v>1302</v>
      </c>
      <c r="G32" s="253"/>
      <c r="H32" s="254" t="s">
        <v>1302</v>
      </c>
      <c r="I32" s="219" t="s">
        <v>1303</v>
      </c>
      <c r="J32" s="210" t="s">
        <v>182</v>
      </c>
      <c r="K32" s="216" t="s">
        <v>1304</v>
      </c>
      <c r="L32" s="274"/>
      <c r="M32" s="234" t="str">
        <f t="shared" si="5"/>
        <v>N/A</v>
      </c>
      <c r="N32" s="210" t="s">
        <v>213</v>
      </c>
      <c r="O32" s="216" t="s">
        <v>214</v>
      </c>
      <c r="P32" s="216" t="s">
        <v>214</v>
      </c>
      <c r="Q32" s="216" t="s">
        <v>214</v>
      </c>
      <c r="R32" s="216" t="s">
        <v>214</v>
      </c>
      <c r="S32" s="216" t="s">
        <v>214</v>
      </c>
      <c r="T32" s="276">
        <f t="shared" si="2"/>
        <v>1</v>
      </c>
      <c r="U32" s="287">
        <f t="shared" si="3"/>
        <v>0</v>
      </c>
      <c r="V32" s="287">
        <f t="shared" si="4"/>
        <v>1</v>
      </c>
      <c r="W32" s="287">
        <f t="shared" si="6"/>
        <v>1</v>
      </c>
    </row>
    <row r="33" spans="1:25" ht="50.1" x14ac:dyDescent="0.2">
      <c r="A33" s="210" t="s">
        <v>1305</v>
      </c>
      <c r="B33" s="210" t="s">
        <v>208</v>
      </c>
      <c r="C33" s="210" t="s">
        <v>208</v>
      </c>
      <c r="D33" s="210" t="s">
        <v>208</v>
      </c>
      <c r="E33" s="217"/>
      <c r="F33" s="253" t="s">
        <v>1306</v>
      </c>
      <c r="G33" s="253"/>
      <c r="H33" s="254" t="s">
        <v>1306</v>
      </c>
      <c r="I33" s="219" t="s">
        <v>1307</v>
      </c>
      <c r="J33" s="210" t="s">
        <v>183</v>
      </c>
      <c r="K33" s="216" t="s">
        <v>1308</v>
      </c>
      <c r="L33" s="274"/>
      <c r="M33" s="234" t="str">
        <f t="shared" si="5"/>
        <v>N/A</v>
      </c>
      <c r="N33" s="210" t="s">
        <v>213</v>
      </c>
      <c r="O33" s="216" t="s">
        <v>214</v>
      </c>
      <c r="P33" s="216" t="s">
        <v>214</v>
      </c>
      <c r="Q33" s="216" t="s">
        <v>214</v>
      </c>
      <c r="R33" s="216" t="s">
        <v>214</v>
      </c>
      <c r="S33" s="216" t="s">
        <v>214</v>
      </c>
      <c r="T33" s="276">
        <f t="shared" si="2"/>
        <v>1</v>
      </c>
      <c r="U33" s="287">
        <f t="shared" si="3"/>
        <v>0</v>
      </c>
      <c r="V33" s="287">
        <f t="shared" si="4"/>
        <v>1</v>
      </c>
      <c r="W33" s="287">
        <f t="shared" si="6"/>
        <v>1</v>
      </c>
    </row>
    <row r="34" spans="1:25" ht="75.150000000000006" x14ac:dyDescent="0.2">
      <c r="A34" s="210" t="s">
        <v>1309</v>
      </c>
      <c r="B34" s="210" t="s">
        <v>208</v>
      </c>
      <c r="C34" s="210" t="s">
        <v>208</v>
      </c>
      <c r="D34" s="210" t="s">
        <v>208</v>
      </c>
      <c r="E34" s="217"/>
      <c r="F34" s="253" t="s">
        <v>1310</v>
      </c>
      <c r="G34" s="253">
        <v>1</v>
      </c>
      <c r="H34" s="254" t="s">
        <v>1311</v>
      </c>
      <c r="I34" s="219" t="s">
        <v>1312</v>
      </c>
      <c r="J34" s="215" t="s">
        <v>183</v>
      </c>
      <c r="K34" s="216" t="s">
        <v>1313</v>
      </c>
      <c r="L34" s="274"/>
      <c r="M34" s="234" t="str">
        <f t="shared" si="5"/>
        <v>N/A</v>
      </c>
      <c r="N34" s="215" t="s">
        <v>213</v>
      </c>
      <c r="O34" s="216" t="s">
        <v>214</v>
      </c>
      <c r="P34" s="216" t="s">
        <v>214</v>
      </c>
      <c r="Q34" s="216" t="s">
        <v>214</v>
      </c>
      <c r="R34" s="216" t="s">
        <v>214</v>
      </c>
      <c r="S34" s="216" t="s">
        <v>214</v>
      </c>
      <c r="T34" s="276">
        <f t="shared" si="2"/>
        <v>1</v>
      </c>
      <c r="U34" s="287">
        <f t="shared" si="3"/>
        <v>0</v>
      </c>
      <c r="V34" s="287">
        <f t="shared" si="4"/>
        <v>1</v>
      </c>
      <c r="W34" s="287">
        <f t="shared" si="6"/>
        <v>1</v>
      </c>
    </row>
    <row r="35" spans="1:25" ht="50.1" x14ac:dyDescent="0.2">
      <c r="A35" s="210" t="s">
        <v>1314</v>
      </c>
      <c r="B35" s="210" t="s">
        <v>208</v>
      </c>
      <c r="C35" s="210" t="s">
        <v>208</v>
      </c>
      <c r="D35" s="210" t="s">
        <v>208</v>
      </c>
      <c r="E35" s="217"/>
      <c r="F35" s="253" t="s">
        <v>1310</v>
      </c>
      <c r="G35" s="253">
        <v>2</v>
      </c>
      <c r="H35" s="254" t="s">
        <v>1315</v>
      </c>
      <c r="I35" s="219" t="s">
        <v>1316</v>
      </c>
      <c r="J35" s="210" t="s">
        <v>183</v>
      </c>
      <c r="K35" s="216" t="s">
        <v>1317</v>
      </c>
      <c r="L35" s="274"/>
      <c r="M35" s="234" t="str">
        <f t="shared" si="5"/>
        <v>N/A</v>
      </c>
      <c r="N35" s="210" t="s">
        <v>213</v>
      </c>
      <c r="O35" s="216" t="s">
        <v>214</v>
      </c>
      <c r="P35" s="216" t="s">
        <v>214</v>
      </c>
      <c r="Q35" s="216" t="s">
        <v>214</v>
      </c>
      <c r="R35" s="216" t="s">
        <v>214</v>
      </c>
      <c r="S35" s="216" t="s">
        <v>214</v>
      </c>
      <c r="T35" s="276">
        <f t="shared" si="2"/>
        <v>1</v>
      </c>
      <c r="U35" s="287">
        <f t="shared" si="3"/>
        <v>0</v>
      </c>
      <c r="V35" s="287">
        <f t="shared" si="4"/>
        <v>1</v>
      </c>
      <c r="W35" s="287">
        <f t="shared" si="6"/>
        <v>1</v>
      </c>
    </row>
    <row r="36" spans="1:25" ht="75.150000000000006" x14ac:dyDescent="0.2">
      <c r="A36" s="210" t="s">
        <v>1318</v>
      </c>
      <c r="B36" s="210" t="s">
        <v>208</v>
      </c>
      <c r="C36" s="210" t="s">
        <v>208</v>
      </c>
      <c r="D36" s="210" t="s">
        <v>208</v>
      </c>
      <c r="E36" s="217"/>
      <c r="F36" s="253" t="s">
        <v>1310</v>
      </c>
      <c r="G36" s="253">
        <v>3</v>
      </c>
      <c r="H36" s="254" t="s">
        <v>1319</v>
      </c>
      <c r="I36" s="219" t="s">
        <v>1320</v>
      </c>
      <c r="J36" s="210" t="s">
        <v>183</v>
      </c>
      <c r="K36" s="216" t="s">
        <v>1321</v>
      </c>
      <c r="L36" s="274"/>
      <c r="M36" s="234" t="str">
        <f t="shared" si="5"/>
        <v>N/A</v>
      </c>
      <c r="N36" s="210" t="s">
        <v>213</v>
      </c>
      <c r="O36" s="216" t="s">
        <v>214</v>
      </c>
      <c r="P36" s="216" t="s">
        <v>214</v>
      </c>
      <c r="Q36" s="216" t="s">
        <v>214</v>
      </c>
      <c r="R36" s="216" t="s">
        <v>214</v>
      </c>
      <c r="S36" s="216" t="s">
        <v>214</v>
      </c>
      <c r="T36" s="276">
        <f t="shared" si="2"/>
        <v>1</v>
      </c>
      <c r="U36" s="287">
        <f t="shared" si="3"/>
        <v>0</v>
      </c>
      <c r="V36" s="287">
        <f t="shared" si="4"/>
        <v>1</v>
      </c>
      <c r="W36" s="287">
        <f t="shared" si="6"/>
        <v>1</v>
      </c>
    </row>
    <row r="37" spans="1:25" s="287" customFormat="1" x14ac:dyDescent="0.2">
      <c r="A37" s="298"/>
      <c r="B37" s="298"/>
      <c r="C37" s="298"/>
      <c r="D37" s="298"/>
      <c r="E37" s="299"/>
      <c r="F37" s="441" t="s">
        <v>1322</v>
      </c>
      <c r="G37" s="442"/>
      <c r="H37" s="443"/>
      <c r="I37" s="446"/>
      <c r="J37" s="298"/>
      <c r="K37" s="445"/>
      <c r="L37" s="303"/>
      <c r="M37" s="303"/>
      <c r="N37" s="303"/>
      <c r="O37" s="303"/>
      <c r="P37" s="303"/>
      <c r="Q37" s="303"/>
      <c r="R37" s="303"/>
      <c r="S37" s="447"/>
      <c r="T37" s="276">
        <f t="shared" si="2"/>
        <v>1</v>
      </c>
      <c r="U37" s="287">
        <f t="shared" si="3"/>
        <v>0</v>
      </c>
      <c r="V37" s="287">
        <f t="shared" si="4"/>
        <v>1</v>
      </c>
    </row>
    <row r="38" spans="1:25" ht="150.30000000000001" x14ac:dyDescent="0.2">
      <c r="A38" s="210" t="s">
        <v>1323</v>
      </c>
      <c r="B38" s="210" t="s">
        <v>208</v>
      </c>
      <c r="C38" s="210" t="s">
        <v>208</v>
      </c>
      <c r="D38" s="210" t="s">
        <v>208</v>
      </c>
      <c r="E38" s="217"/>
      <c r="F38" s="253">
        <v>10.4</v>
      </c>
      <c r="G38" s="253">
        <v>1</v>
      </c>
      <c r="H38" s="254" t="s">
        <v>1324</v>
      </c>
      <c r="I38" s="219" t="s">
        <v>1325</v>
      </c>
      <c r="J38" s="210" t="s">
        <v>183</v>
      </c>
      <c r="K38" s="216" t="s">
        <v>1326</v>
      </c>
      <c r="L38" s="274"/>
      <c r="M38" s="234" t="str">
        <f>IFERROR(IF(N38="Maturity",HLOOKUP(L38,$O$2:$S$200,ROW()-1,0),"N/A"),"")</f>
        <v>N/A</v>
      </c>
      <c r="N38" s="210" t="s">
        <v>213</v>
      </c>
      <c r="O38" s="216" t="s">
        <v>214</v>
      </c>
      <c r="P38" s="216" t="s">
        <v>214</v>
      </c>
      <c r="Q38" s="216" t="s">
        <v>214</v>
      </c>
      <c r="R38" s="216" t="s">
        <v>214</v>
      </c>
      <c r="S38" s="216" t="s">
        <v>214</v>
      </c>
      <c r="T38" s="276">
        <f t="shared" si="2"/>
        <v>1</v>
      </c>
      <c r="U38" s="287">
        <f t="shared" si="3"/>
        <v>0</v>
      </c>
      <c r="V38" s="287">
        <f t="shared" si="4"/>
        <v>1</v>
      </c>
      <c r="W38" s="287">
        <f t="shared" si="6"/>
        <v>1</v>
      </c>
    </row>
    <row r="39" spans="1:25" ht="263" x14ac:dyDescent="0.2">
      <c r="A39" s="210" t="s">
        <v>1327</v>
      </c>
      <c r="B39" s="210" t="s">
        <v>208</v>
      </c>
      <c r="C39" s="210" t="s">
        <v>208</v>
      </c>
      <c r="D39" s="210" t="s">
        <v>208</v>
      </c>
      <c r="E39" s="217"/>
      <c r="F39" s="254" t="s">
        <v>1328</v>
      </c>
      <c r="G39" s="253"/>
      <c r="H39" s="254" t="s">
        <v>1328</v>
      </c>
      <c r="I39" s="219" t="s">
        <v>1329</v>
      </c>
      <c r="J39" s="210" t="s">
        <v>183</v>
      </c>
      <c r="K39" s="216" t="s">
        <v>1330</v>
      </c>
      <c r="L39" s="451"/>
      <c r="M39" s="216" t="str">
        <f>IFERROR(IF(N39="Maturity",HLOOKUP(L39,$O$2:$S$200,ROW()-1,0),"N/A"),"")</f>
        <v>N/A</v>
      </c>
      <c r="N39" s="210" t="s">
        <v>213</v>
      </c>
      <c r="O39" s="216" t="s">
        <v>214</v>
      </c>
      <c r="P39" s="216" t="s">
        <v>214</v>
      </c>
      <c r="Q39" s="216" t="s">
        <v>214</v>
      </c>
      <c r="R39" s="216" t="s">
        <v>214</v>
      </c>
      <c r="S39" s="216" t="s">
        <v>214</v>
      </c>
      <c r="T39" s="276">
        <f t="shared" si="2"/>
        <v>1</v>
      </c>
      <c r="U39" s="287">
        <f t="shared" si="3"/>
        <v>0</v>
      </c>
      <c r="V39" s="287">
        <f t="shared" si="4"/>
        <v>1</v>
      </c>
      <c r="W39" s="287">
        <f t="shared" si="6"/>
        <v>1</v>
      </c>
    </row>
    <row r="40" spans="1:25" x14ac:dyDescent="0.2">
      <c r="W40" s="368">
        <f>SUM(W5:W39)</f>
        <v>32</v>
      </c>
      <c r="Y40" s="287">
        <f>COUNTIF(N5:N39,"Maturity")</f>
        <v>6</v>
      </c>
    </row>
    <row r="41" spans="1:25" x14ac:dyDescent="0.2">
      <c r="L41" s="271" t="s">
        <v>364</v>
      </c>
      <c r="M41" s="272" t="str">
        <f>IF(W40&gt;0,"โปรดระวัง ท่านยังไม่ได้บันทึกผลการประเมินในข้อดังนี้","ตอบแบบประเมินครบถ้วน")</f>
        <v>โปรดระวัง ท่านยังไม่ได้บันทึกผลการประเมินในข้อดังนี้</v>
      </c>
    </row>
    <row r="42" spans="1:25" ht="87.65" x14ac:dyDescent="0.25">
      <c r="M42" s="430" t="str">
        <f>IF(ISBLANK(L5),_xlfn.CONCAT(A5," , "),"")&amp; IF(ISBLANK(L6),_xlfn.CONCAT(A6," , "),"")&amp; IF(ISBLANK(L7),_xlfn.CONCAT(A7," , "),"")&amp; IF(ISBLANK(L8),_xlfn.CONCAT(A8," , "),"")&amp;
IF(ISBLANK(L9),_xlfn.CONCAT(A9," , "),"")&amp;
IF(ISBLANK(L10),_xlfn.CONCAT(A10," , "),"")&amp; IF(ISBLANK(L11),_xlfn.CONCAT(A11," , "),"")&amp; IF(ISBLANK(L13),_xlfn.CONCAT(A13," , "),"")&amp;
IF(ISBLANK(L15),_xlfn.CONCAT(A15," , "),"")&amp;  IF(ISBLANK(L16),_xlfn.CONCAT(A16," , "),"")&amp; IF(ISBLANK(L17),_xlfn.CONCAT(A17," , "),"")&amp;
IF(ISBLANK(L18),_xlfn.CONCAT(A18," , "),"")&amp; IF(ISBLANK(L19),_xlfn.CONCAT(A19," , "),"")&amp;
IF(ISBLANK(L20),_xlfn.CONCAT(A20," , "),"")&amp;
IF(ISBLANK(L21),_xlfn.CONCAT(A21," , "),"")&amp; IF(ISBLANK(L22),_xlfn.CONCAT(A22," , "),"")&amp; IF(ISBLANK(L23),_xlfn.CONCAT(A23," , "),"")&amp; IF(ISBLANK(L24),_xlfn.CONCAT(A24," , "),"")&amp;
IF(ISBLANK(L25),_xlfn.CONCAT(A25," , "),"")&amp;
IF(ISBLANK(L26),_xlfn.CONCAT(A26," , "),"")&amp; IF(ISBLANK(L27),_xlfn.CONCAT(A27," , "),"")&amp; IF(ISBLANK(L28),_xlfn.CONCAT(A28," , "),"")&amp; IF(ISBLANK(L29),_xlfn.CONCAT(A29," , "),"")&amp; IF(ISBLANK(L30),_xlfn.CONCAT(A30," , "),"")&amp; IF(ISBLANK(L31),_xlfn.CONCAT(A31," , "),"")&amp; IF(ISBLANK(L32),_xlfn.CONCAT(A32," , "),"")&amp; IF(ISBLANK(L33),_xlfn.CONCAT(A33," , "),"")&amp;
IF(ISBLANK(L34),_xlfn.CONCAT(A34," , "),"")&amp;
IF(ISBLANK(L35),_xlfn.CONCAT(A35," , "),"")&amp; IF(ISBLANK(L36),_xlfn.CONCAT(A36," , "),"")&amp;
IF(ISBLANK(L38),_xlfn.CONCAT(A38," , "),"")&amp; IF(ISBLANK(L39),A39,"")</f>
        <v>D2.10 #1 , D2.10 #2 , D2.10 #3 , D2.10 #4 , D2.10 #5 , D2.10 #6 , D2.10 #7 , D2.10 #8 , D2.10 #9 , D2.10 #10 , D2.10 #11 , D2.10 #12 , D2.10 #13 , D2.10 #14 , D2.10 #15 , D2.10 #16 , D2.10 #17 , D2.10 #18 , D2.10 #19 , D2.10 #20 , D2.10 #21 , D2.10 #22 , D2.10 #23 , D2.10 #24 , D2.10 #25 , D2.10 #26 , D2.10 #27 , D2.10 #28 , D2.10 #29 , D2.10 #30 , D2.10 #31 , D2.10 #32</v>
      </c>
    </row>
  </sheetData>
  <sheetProtection selectLockedCells="1"/>
  <autoFilter ref="B1:S39" xr:uid="{F390AE4D-1E85-4394-9193-D4292C4AE2CB}"/>
  <conditionalFormatting sqref="M41">
    <cfRule type="containsText" dxfId="7" priority="1" operator="containsText" text="โปรดระวัง ท่านยังไม่ได้บันทึกผลการประเมินในข้อดังนี้">
      <formula>NOT(ISERROR(SEARCH("โปรดระวัง ท่านยังไม่ได้บันทึกผลการประเมินในข้อดังนี้",M41)))</formula>
    </cfRule>
    <cfRule type="containsText" dxfId="6" priority="2" operator="containsText" text="ตอบแบบประเมินครบถ้วน">
      <formula>NOT(ISERROR(SEARCH("ตอบแบบประเมินครบถ้วน",M41)))</formula>
    </cfRule>
  </conditionalFormatting>
  <dataValidations count="3">
    <dataValidation type="list" allowBlank="1" showInputMessage="1" showErrorMessage="1" sqref="N31 N15:N25 N5:N11 N13" xr:uid="{796CD04D-7F78-478E-A721-A7E18E943D63}">
      <formula1>"Yes/Partial/No, Maturity"</formula1>
    </dataValidation>
    <dataValidation type="list" allowBlank="1" showInputMessage="1" showErrorMessage="1" sqref="L31 L21:L23 L8:L9" xr:uid="{ABD0614B-2476-4DAF-9754-5B2629B66895}">
      <formula1>"M1,M2,M3,M4,M5,N/A"</formula1>
    </dataValidation>
    <dataValidation type="list" allowBlank="1" showInputMessage="1" showErrorMessage="1" sqref="L32:L36 L13 L5:L7 L10:L11 L15:L20 L38:L39 L24:L30" xr:uid="{50010FAA-C382-4387-8018-AA311B59904E}">
      <formula1>"Yes,Partial,No,N/A"</formula1>
    </dataValidation>
  </dataValidations>
  <pageMargins left="0.25" right="0.25" top="0.5" bottom="0.5" header="0.3" footer="0.3"/>
  <pageSetup paperSize="9" scale="70" pageOrder="overThenDown" orientation="landscape" horizontalDpi="1200" verticalDpi="1200" r:id="rId1"/>
  <headerFooter>
    <oddHeader>&amp;L&amp;"TH Sarabun New,Regular"&amp;14แนวทางการประเมินสำหรับผู้ประกอบธุรกิจภายใต้หน่วยงานกำกับดูแล (IT Audit Program)&amp;R&amp;"TH Sarabun New,Regular"&amp;14Authorised Restricted Use – Confidential</oddHeader>
    <oddFooter>&amp;L&amp;"TH Sarabun New,Regular"&amp;14หมวด 2.11 การบริหารจัดการโครงการด้าน IT (IT project management) และมาตรการการจัดหา พัฒนา รวมถึงบำรุงรักษาระบบ IT (system acquisition, development and maintenance)&amp;R&amp;"TH Sarabun New,Regular"&amp;14&amp;P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A0649E-08B5-4EC4-92F9-AA5F7619C035}">
  <sheetPr codeName="Sheet22">
    <tabColor theme="9" tint="0.39997558519241921"/>
  </sheetPr>
  <dimension ref="A1:Z22"/>
  <sheetViews>
    <sheetView topLeftCell="C1" zoomScaleNormal="100" workbookViewId="0">
      <pane ySplit="1" topLeftCell="A12" activePane="bottomLeft" state="frozen"/>
      <selection pane="bottomLeft" activeCell="J14" sqref="J14"/>
    </sheetView>
  </sheetViews>
  <sheetFormatPr defaultColWidth="8.19921875" defaultRowHeight="12.55" x14ac:dyDescent="0.2"/>
  <cols>
    <col min="1" max="1" width="10.19921875" style="287" customWidth="1"/>
    <col min="2" max="5" width="9.19921875" style="276" customWidth="1"/>
    <col min="6" max="6" width="15.19921875" style="356" customWidth="1"/>
    <col min="7" max="7" width="15.19921875" style="454" customWidth="1"/>
    <col min="8" max="8" width="18.19921875" style="356" customWidth="1"/>
    <col min="9" max="9" width="50.19921875" style="287" customWidth="1"/>
    <col min="10" max="10" width="20.19921875" style="276" customWidth="1"/>
    <col min="11" max="11" width="120.19921875" style="287" customWidth="1"/>
    <col min="12" max="12" width="18.69921875" style="276" customWidth="1"/>
    <col min="13" max="13" width="50.69921875" style="287" customWidth="1"/>
    <col min="14" max="14" width="33.09765625" style="287" bestFit="1" customWidth="1"/>
    <col min="15" max="15" width="50" style="368" bestFit="1" customWidth="1"/>
    <col min="16" max="16" width="48.8984375" style="368" bestFit="1" customWidth="1"/>
    <col min="17" max="17" width="49.09765625" style="368" bestFit="1" customWidth="1"/>
    <col min="18" max="18" width="49.19921875" style="368" bestFit="1" customWidth="1"/>
    <col min="19" max="19" width="50.09765625" style="368" bestFit="1" customWidth="1"/>
    <col min="20" max="22" width="2.19921875" style="287" hidden="1" customWidth="1"/>
    <col min="23" max="26" width="8.19921875" style="287" hidden="1" customWidth="1"/>
    <col min="27" max="27" width="7.19921875" style="287" customWidth="1"/>
    <col min="28" max="16384" width="8.19921875" style="287"/>
  </cols>
  <sheetData>
    <row r="1" spans="1:23" s="276" customFormat="1" ht="37.6" x14ac:dyDescent="0.2">
      <c r="A1" s="198" t="s">
        <v>181</v>
      </c>
      <c r="B1" s="199" t="s">
        <v>182</v>
      </c>
      <c r="C1" s="200" t="s">
        <v>183</v>
      </c>
      <c r="D1" s="201" t="s">
        <v>184</v>
      </c>
      <c r="E1" s="202" t="s">
        <v>185</v>
      </c>
      <c r="F1" s="198" t="s">
        <v>186</v>
      </c>
      <c r="G1" s="203" t="s">
        <v>187</v>
      </c>
      <c r="H1" s="204" t="s">
        <v>188</v>
      </c>
      <c r="I1" s="205" t="s">
        <v>189</v>
      </c>
      <c r="J1" s="206" t="s">
        <v>190</v>
      </c>
      <c r="K1" s="206" t="s">
        <v>191</v>
      </c>
      <c r="L1" s="206" t="s">
        <v>192</v>
      </c>
      <c r="M1" s="206" t="s">
        <v>111</v>
      </c>
      <c r="N1" s="206" t="s">
        <v>193</v>
      </c>
      <c r="O1" s="207" t="s">
        <v>194</v>
      </c>
      <c r="P1" s="207" t="s">
        <v>195</v>
      </c>
      <c r="Q1" s="208" t="s">
        <v>196</v>
      </c>
      <c r="R1" s="208" t="s">
        <v>197</v>
      </c>
      <c r="S1" s="207" t="s">
        <v>198</v>
      </c>
    </row>
    <row r="2" spans="1:23" x14ac:dyDescent="0.2">
      <c r="A2" s="314"/>
      <c r="B2" s="314"/>
      <c r="C2" s="314"/>
      <c r="D2" s="314"/>
      <c r="E2" s="315"/>
      <c r="F2" s="316" t="s">
        <v>365</v>
      </c>
      <c r="G2" s="317"/>
      <c r="H2" s="318"/>
      <c r="I2" s="314"/>
      <c r="J2" s="278"/>
      <c r="K2" s="278"/>
      <c r="L2" s="283"/>
      <c r="M2" s="319"/>
      <c r="N2" s="319"/>
      <c r="O2" s="320" t="s">
        <v>200</v>
      </c>
      <c r="P2" s="286" t="s">
        <v>201</v>
      </c>
      <c r="Q2" s="320" t="s">
        <v>202</v>
      </c>
      <c r="R2" s="320" t="s">
        <v>203</v>
      </c>
      <c r="S2" s="320" t="s">
        <v>204</v>
      </c>
    </row>
    <row r="3" spans="1:23" s="296" customFormat="1" x14ac:dyDescent="0.25">
      <c r="A3" s="289"/>
      <c r="B3" s="289"/>
      <c r="C3" s="289"/>
      <c r="D3" s="289"/>
      <c r="E3" s="289"/>
      <c r="F3" s="291" t="s">
        <v>1331</v>
      </c>
      <c r="G3" s="321"/>
      <c r="H3" s="322"/>
      <c r="I3" s="289"/>
      <c r="J3" s="289"/>
      <c r="K3" s="289"/>
      <c r="L3" s="289"/>
      <c r="M3" s="289"/>
      <c r="N3" s="289"/>
      <c r="O3" s="289"/>
      <c r="P3" s="289"/>
      <c r="Q3" s="289"/>
      <c r="R3" s="289"/>
      <c r="S3" s="289"/>
    </row>
    <row r="4" spans="1:23" ht="87.65" x14ac:dyDescent="0.2">
      <c r="A4" s="361" t="s">
        <v>1332</v>
      </c>
      <c r="B4" s="363" t="s">
        <v>208</v>
      </c>
      <c r="C4" s="398" t="s">
        <v>208</v>
      </c>
      <c r="D4" s="398" t="s">
        <v>208</v>
      </c>
      <c r="E4" s="398"/>
      <c r="F4" s="261">
        <v>11.1</v>
      </c>
      <c r="G4" s="453">
        <v>1</v>
      </c>
      <c r="H4" s="261" t="s">
        <v>1333</v>
      </c>
      <c r="I4" s="219" t="s">
        <v>1334</v>
      </c>
      <c r="J4" s="264" t="s">
        <v>183</v>
      </c>
      <c r="K4" s="234" t="s">
        <v>1335</v>
      </c>
      <c r="L4" s="455"/>
      <c r="M4" s="362" t="str">
        <f t="shared" ref="M4:M19" si="0">IFERROR(IF(N4="Maturity",HLOOKUP(L4,$O$2:$S$200,ROW()-1,0),"N/A"),"")</f>
        <v>N/A</v>
      </c>
      <c r="N4" s="438" t="s">
        <v>213</v>
      </c>
      <c r="O4" s="344" t="s">
        <v>214</v>
      </c>
      <c r="P4" s="344" t="s">
        <v>214</v>
      </c>
      <c r="Q4" s="344" t="s">
        <v>214</v>
      </c>
      <c r="R4" s="344" t="s">
        <v>214</v>
      </c>
      <c r="S4" s="344" t="s">
        <v>214</v>
      </c>
      <c r="T4" s="276">
        <f>IF(OR(L4="Yes",L4="M3",L4="M4",L4="M5"),3,IF(OR(L4="Partial",L4="M2"),2,IF(L4="N/A",0,1)))</f>
        <v>1</v>
      </c>
      <c r="U4" s="287">
        <f>IF(L4="M4",1,IF(L4="M5",2,0))</f>
        <v>0</v>
      </c>
      <c r="V4" s="287">
        <f>T4+U4</f>
        <v>1</v>
      </c>
      <c r="W4" s="287">
        <f t="shared" ref="W4:W19" si="1">IF(ISBLANK(L4),1,0)</f>
        <v>1</v>
      </c>
    </row>
    <row r="5" spans="1:23" s="334" customFormat="1" ht="200.35" x14ac:dyDescent="0.2">
      <c r="A5" s="210" t="s">
        <v>1336</v>
      </c>
      <c r="B5" s="367" t="s">
        <v>208</v>
      </c>
      <c r="C5" s="239" t="s">
        <v>208</v>
      </c>
      <c r="D5" s="239" t="s">
        <v>208</v>
      </c>
      <c r="E5" s="239"/>
      <c r="F5" s="215">
        <v>11.2</v>
      </c>
      <c r="G5" s="242" t="s">
        <v>240</v>
      </c>
      <c r="H5" s="254" t="s">
        <v>1337</v>
      </c>
      <c r="I5" s="219" t="s">
        <v>1338</v>
      </c>
      <c r="J5" s="239" t="s">
        <v>182</v>
      </c>
      <c r="K5" s="234" t="s">
        <v>1339</v>
      </c>
      <c r="L5" s="274"/>
      <c r="M5" s="344" t="str">
        <f t="shared" si="0"/>
        <v/>
      </c>
      <c r="N5" s="243" t="s">
        <v>219</v>
      </c>
      <c r="O5" s="216" t="s">
        <v>1340</v>
      </c>
      <c r="P5" s="216" t="s">
        <v>1341</v>
      </c>
      <c r="Q5" s="244" t="s">
        <v>1342</v>
      </c>
      <c r="R5" s="216" t="s">
        <v>1343</v>
      </c>
      <c r="S5" s="216" t="s">
        <v>1344</v>
      </c>
      <c r="T5" s="276">
        <f t="shared" ref="T5:T19" si="2">IF(OR(L5="Yes",L5="M3",L5="M4",L5="M5"),3,IF(OR(L5="Partial",L5="M2"),2,IF(L5="N/A",0,1)))</f>
        <v>1</v>
      </c>
      <c r="U5" s="287">
        <f t="shared" ref="U5:U19" si="3">IF(L5="M4",1,IF(L5="M5",2,0))</f>
        <v>0</v>
      </c>
      <c r="V5" s="287">
        <f t="shared" ref="V5:V19" si="4">T5+U5</f>
        <v>1</v>
      </c>
      <c r="W5" s="287">
        <f t="shared" si="1"/>
        <v>1</v>
      </c>
    </row>
    <row r="6" spans="1:23" ht="87.65" x14ac:dyDescent="0.2">
      <c r="A6" s="210" t="s">
        <v>1345</v>
      </c>
      <c r="B6" s="365" t="s">
        <v>208</v>
      </c>
      <c r="C6" s="264" t="s">
        <v>208</v>
      </c>
      <c r="D6" s="264" t="s">
        <v>208</v>
      </c>
      <c r="E6" s="264"/>
      <c r="F6" s="253">
        <v>11.2</v>
      </c>
      <c r="G6" s="420" t="s">
        <v>1346</v>
      </c>
      <c r="H6" s="254" t="s">
        <v>1347</v>
      </c>
      <c r="I6" s="219" t="s">
        <v>1348</v>
      </c>
      <c r="J6" s="239" t="s">
        <v>183</v>
      </c>
      <c r="K6" s="234" t="s">
        <v>1349</v>
      </c>
      <c r="L6" s="455"/>
      <c r="M6" s="344" t="str">
        <f t="shared" si="0"/>
        <v>N/A</v>
      </c>
      <c r="N6" s="213" t="s">
        <v>213</v>
      </c>
      <c r="O6" s="344" t="s">
        <v>214</v>
      </c>
      <c r="P6" s="344" t="s">
        <v>214</v>
      </c>
      <c r="Q6" s="344" t="s">
        <v>214</v>
      </c>
      <c r="R6" s="344" t="s">
        <v>214</v>
      </c>
      <c r="S6" s="344" t="s">
        <v>214</v>
      </c>
      <c r="T6" s="276">
        <f t="shared" si="2"/>
        <v>1</v>
      </c>
      <c r="U6" s="287">
        <f t="shared" si="3"/>
        <v>0</v>
      </c>
      <c r="V6" s="287">
        <f t="shared" si="4"/>
        <v>1</v>
      </c>
      <c r="W6" s="287">
        <f t="shared" si="1"/>
        <v>1</v>
      </c>
    </row>
    <row r="7" spans="1:23" s="334" customFormat="1" ht="87.65" x14ac:dyDescent="0.2">
      <c r="A7" s="210" t="s">
        <v>1350</v>
      </c>
      <c r="B7" s="367" t="s">
        <v>208</v>
      </c>
      <c r="C7" s="239" t="s">
        <v>208</v>
      </c>
      <c r="D7" s="239" t="s">
        <v>208</v>
      </c>
      <c r="E7" s="239"/>
      <c r="F7" s="253">
        <v>11.2</v>
      </c>
      <c r="G7" s="420" t="s">
        <v>484</v>
      </c>
      <c r="H7" s="215" t="s">
        <v>1351</v>
      </c>
      <c r="I7" s="235" t="s">
        <v>1352</v>
      </c>
      <c r="J7" s="239" t="s">
        <v>182</v>
      </c>
      <c r="K7" s="234" t="s">
        <v>1353</v>
      </c>
      <c r="L7" s="274"/>
      <c r="M7" s="344" t="str">
        <f t="shared" si="0"/>
        <v>N/A</v>
      </c>
      <c r="N7" s="243" t="s">
        <v>213</v>
      </c>
      <c r="O7" s="216" t="s">
        <v>214</v>
      </c>
      <c r="P7" s="216" t="s">
        <v>214</v>
      </c>
      <c r="Q7" s="216" t="s">
        <v>214</v>
      </c>
      <c r="R7" s="216" t="s">
        <v>214</v>
      </c>
      <c r="S7" s="216" t="s">
        <v>214</v>
      </c>
      <c r="T7" s="276">
        <f t="shared" si="2"/>
        <v>1</v>
      </c>
      <c r="U7" s="287">
        <f t="shared" si="3"/>
        <v>0</v>
      </c>
      <c r="V7" s="287">
        <f t="shared" si="4"/>
        <v>1</v>
      </c>
      <c r="W7" s="287">
        <f t="shared" si="1"/>
        <v>1</v>
      </c>
    </row>
    <row r="8" spans="1:23" s="334" customFormat="1" ht="50.1" x14ac:dyDescent="0.2">
      <c r="A8" s="210" t="s">
        <v>1354</v>
      </c>
      <c r="B8" s="367" t="s">
        <v>208</v>
      </c>
      <c r="C8" s="239" t="s">
        <v>208</v>
      </c>
      <c r="D8" s="239" t="s">
        <v>208</v>
      </c>
      <c r="E8" s="239"/>
      <c r="F8" s="253">
        <v>11.2</v>
      </c>
      <c r="G8" s="420" t="s">
        <v>489</v>
      </c>
      <c r="H8" s="215" t="s">
        <v>1355</v>
      </c>
      <c r="I8" s="219" t="s">
        <v>1356</v>
      </c>
      <c r="J8" s="239" t="s">
        <v>183</v>
      </c>
      <c r="K8" s="234" t="s">
        <v>1357</v>
      </c>
      <c r="L8" s="274"/>
      <c r="M8" s="344" t="str">
        <f t="shared" si="0"/>
        <v>N/A</v>
      </c>
      <c r="N8" s="243" t="s">
        <v>213</v>
      </c>
      <c r="O8" s="216" t="s">
        <v>214</v>
      </c>
      <c r="P8" s="216" t="s">
        <v>214</v>
      </c>
      <c r="Q8" s="216" t="s">
        <v>214</v>
      </c>
      <c r="R8" s="216" t="s">
        <v>214</v>
      </c>
      <c r="S8" s="216" t="s">
        <v>214</v>
      </c>
      <c r="T8" s="276">
        <f t="shared" si="2"/>
        <v>1</v>
      </c>
      <c r="U8" s="287">
        <f t="shared" si="3"/>
        <v>0</v>
      </c>
      <c r="V8" s="287">
        <f t="shared" si="4"/>
        <v>1</v>
      </c>
      <c r="W8" s="287">
        <f t="shared" si="1"/>
        <v>1</v>
      </c>
    </row>
    <row r="9" spans="1:23" s="334" customFormat="1" ht="62.65" x14ac:dyDescent="0.2">
      <c r="A9" s="210" t="s">
        <v>1358</v>
      </c>
      <c r="B9" s="367" t="s">
        <v>208</v>
      </c>
      <c r="C9" s="239" t="s">
        <v>208</v>
      </c>
      <c r="D9" s="239" t="s">
        <v>208</v>
      </c>
      <c r="E9" s="239"/>
      <c r="F9" s="253">
        <v>11.2</v>
      </c>
      <c r="G9" s="420" t="s">
        <v>494</v>
      </c>
      <c r="H9" s="215" t="s">
        <v>1359</v>
      </c>
      <c r="I9" s="219" t="s">
        <v>1360</v>
      </c>
      <c r="J9" s="239" t="s">
        <v>183</v>
      </c>
      <c r="K9" s="234" t="s">
        <v>1361</v>
      </c>
      <c r="L9" s="274"/>
      <c r="M9" s="344" t="str">
        <f t="shared" si="0"/>
        <v>N/A</v>
      </c>
      <c r="N9" s="243" t="s">
        <v>213</v>
      </c>
      <c r="O9" s="216" t="s">
        <v>214</v>
      </c>
      <c r="P9" s="216" t="s">
        <v>214</v>
      </c>
      <c r="Q9" s="216" t="s">
        <v>214</v>
      </c>
      <c r="R9" s="216" t="s">
        <v>214</v>
      </c>
      <c r="S9" s="216" t="s">
        <v>214</v>
      </c>
      <c r="T9" s="276">
        <f t="shared" si="2"/>
        <v>1</v>
      </c>
      <c r="U9" s="287">
        <f t="shared" si="3"/>
        <v>0</v>
      </c>
      <c r="V9" s="287">
        <f t="shared" si="4"/>
        <v>1</v>
      </c>
      <c r="W9" s="287">
        <f t="shared" si="1"/>
        <v>1</v>
      </c>
    </row>
    <row r="10" spans="1:23" ht="50.1" x14ac:dyDescent="0.2">
      <c r="A10" s="210" t="s">
        <v>1362</v>
      </c>
      <c r="B10" s="365" t="s">
        <v>208</v>
      </c>
      <c r="C10" s="264" t="s">
        <v>208</v>
      </c>
      <c r="D10" s="264" t="s">
        <v>208</v>
      </c>
      <c r="E10" s="264"/>
      <c r="F10" s="253">
        <v>11.2</v>
      </c>
      <c r="G10" s="420" t="s">
        <v>499</v>
      </c>
      <c r="H10" s="215" t="s">
        <v>1363</v>
      </c>
      <c r="I10" s="219" t="s">
        <v>1364</v>
      </c>
      <c r="J10" s="264" t="s">
        <v>1365</v>
      </c>
      <c r="K10" s="234" t="s">
        <v>1366</v>
      </c>
      <c r="L10" s="455"/>
      <c r="M10" s="344" t="str">
        <f t="shared" si="0"/>
        <v>N/A</v>
      </c>
      <c r="N10" s="213" t="s">
        <v>213</v>
      </c>
      <c r="O10" s="344" t="s">
        <v>214</v>
      </c>
      <c r="P10" s="344" t="s">
        <v>214</v>
      </c>
      <c r="Q10" s="344" t="s">
        <v>214</v>
      </c>
      <c r="R10" s="344" t="s">
        <v>214</v>
      </c>
      <c r="S10" s="344" t="s">
        <v>214</v>
      </c>
      <c r="T10" s="276">
        <f t="shared" si="2"/>
        <v>1</v>
      </c>
      <c r="U10" s="287">
        <f t="shared" si="3"/>
        <v>0</v>
      </c>
      <c r="V10" s="287">
        <f t="shared" si="4"/>
        <v>1</v>
      </c>
      <c r="W10" s="287">
        <f t="shared" si="1"/>
        <v>1</v>
      </c>
    </row>
    <row r="11" spans="1:23" ht="150.30000000000001" x14ac:dyDescent="0.2">
      <c r="A11" s="210" t="s">
        <v>1367</v>
      </c>
      <c r="B11" s="365" t="s">
        <v>208</v>
      </c>
      <c r="C11" s="264" t="s">
        <v>208</v>
      </c>
      <c r="D11" s="264" t="s">
        <v>208</v>
      </c>
      <c r="E11" s="264" t="s">
        <v>208</v>
      </c>
      <c r="F11" s="253">
        <v>11.3</v>
      </c>
      <c r="G11" s="420" t="s">
        <v>250</v>
      </c>
      <c r="H11" s="215" t="s">
        <v>1368</v>
      </c>
      <c r="I11" s="219" t="s">
        <v>1369</v>
      </c>
      <c r="J11" s="239" t="s">
        <v>182</v>
      </c>
      <c r="K11" s="234" t="s">
        <v>1370</v>
      </c>
      <c r="L11" s="455"/>
      <c r="M11" s="344" t="str">
        <f t="shared" si="0"/>
        <v>N/A</v>
      </c>
      <c r="N11" s="213" t="s">
        <v>213</v>
      </c>
      <c r="O11" s="344" t="s">
        <v>214</v>
      </c>
      <c r="P11" s="344" t="s">
        <v>214</v>
      </c>
      <c r="Q11" s="344" t="s">
        <v>214</v>
      </c>
      <c r="R11" s="344" t="s">
        <v>214</v>
      </c>
      <c r="S11" s="344" t="s">
        <v>214</v>
      </c>
      <c r="T11" s="276">
        <f t="shared" si="2"/>
        <v>1</v>
      </c>
      <c r="U11" s="287">
        <f t="shared" si="3"/>
        <v>0</v>
      </c>
      <c r="V11" s="287">
        <f t="shared" si="4"/>
        <v>1</v>
      </c>
      <c r="W11" s="287">
        <f t="shared" si="1"/>
        <v>1</v>
      </c>
    </row>
    <row r="12" spans="1:23" s="334" customFormat="1" ht="200.35" x14ac:dyDescent="0.2">
      <c r="A12" s="210" t="s">
        <v>1371</v>
      </c>
      <c r="B12" s="367" t="s">
        <v>208</v>
      </c>
      <c r="C12" s="239" t="s">
        <v>208</v>
      </c>
      <c r="D12" s="239" t="s">
        <v>208</v>
      </c>
      <c r="E12" s="215" t="s">
        <v>208</v>
      </c>
      <c r="F12" s="253">
        <v>11.3</v>
      </c>
      <c r="G12" s="420" t="s">
        <v>267</v>
      </c>
      <c r="H12" s="254" t="s">
        <v>1372</v>
      </c>
      <c r="I12" s="219" t="s">
        <v>1373</v>
      </c>
      <c r="J12" s="215" t="s">
        <v>183</v>
      </c>
      <c r="K12" s="216" t="s">
        <v>1374</v>
      </c>
      <c r="L12" s="274"/>
      <c r="M12" s="344" t="str">
        <f t="shared" si="0"/>
        <v>N/A</v>
      </c>
      <c r="N12" s="243" t="s">
        <v>213</v>
      </c>
      <c r="O12" s="216" t="s">
        <v>214</v>
      </c>
      <c r="P12" s="216" t="s">
        <v>214</v>
      </c>
      <c r="Q12" s="216" t="s">
        <v>214</v>
      </c>
      <c r="R12" s="216" t="s">
        <v>214</v>
      </c>
      <c r="S12" s="216" t="s">
        <v>214</v>
      </c>
      <c r="T12" s="276">
        <f t="shared" si="2"/>
        <v>1</v>
      </c>
      <c r="U12" s="287">
        <f t="shared" si="3"/>
        <v>0</v>
      </c>
      <c r="V12" s="287">
        <f t="shared" si="4"/>
        <v>1</v>
      </c>
      <c r="W12" s="287">
        <f t="shared" si="1"/>
        <v>1</v>
      </c>
    </row>
    <row r="13" spans="1:23" s="334" customFormat="1" ht="62.65" x14ac:dyDescent="0.2">
      <c r="A13" s="210" t="s">
        <v>1375</v>
      </c>
      <c r="B13" s="367" t="s">
        <v>208</v>
      </c>
      <c r="C13" s="239"/>
      <c r="D13" s="239"/>
      <c r="E13" s="215"/>
      <c r="F13" s="253">
        <v>11.3</v>
      </c>
      <c r="G13" s="420" t="s">
        <v>272</v>
      </c>
      <c r="H13" s="254" t="s">
        <v>1376</v>
      </c>
      <c r="I13" s="219" t="s">
        <v>1377</v>
      </c>
      <c r="J13" s="215" t="s">
        <v>183</v>
      </c>
      <c r="K13" s="216" t="s">
        <v>1378</v>
      </c>
      <c r="L13" s="274"/>
      <c r="M13" s="344" t="str">
        <f t="shared" si="0"/>
        <v>N/A</v>
      </c>
      <c r="N13" s="243" t="s">
        <v>213</v>
      </c>
      <c r="O13" s="216" t="s">
        <v>214</v>
      </c>
      <c r="P13" s="216" t="s">
        <v>214</v>
      </c>
      <c r="Q13" s="216" t="s">
        <v>214</v>
      </c>
      <c r="R13" s="216" t="s">
        <v>214</v>
      </c>
      <c r="S13" s="216" t="s">
        <v>214</v>
      </c>
      <c r="T13" s="276">
        <f t="shared" si="2"/>
        <v>1</v>
      </c>
      <c r="U13" s="287">
        <f t="shared" si="3"/>
        <v>0</v>
      </c>
      <c r="V13" s="287">
        <f t="shared" si="4"/>
        <v>1</v>
      </c>
      <c r="W13" s="287">
        <f t="shared" si="1"/>
        <v>1</v>
      </c>
    </row>
    <row r="14" spans="1:23" s="334" customFormat="1" ht="75.150000000000006" x14ac:dyDescent="0.2">
      <c r="A14" s="210" t="s">
        <v>1379</v>
      </c>
      <c r="B14" s="367" t="s">
        <v>208</v>
      </c>
      <c r="C14" s="239" t="s">
        <v>208</v>
      </c>
      <c r="D14" s="239" t="s">
        <v>208</v>
      </c>
      <c r="E14" s="215" t="s">
        <v>208</v>
      </c>
      <c r="F14" s="253">
        <v>11.4</v>
      </c>
      <c r="G14" s="420" t="s">
        <v>240</v>
      </c>
      <c r="H14" s="254" t="s">
        <v>1380</v>
      </c>
      <c r="I14" s="219" t="s">
        <v>1381</v>
      </c>
      <c r="J14" s="215" t="s">
        <v>183</v>
      </c>
      <c r="K14" s="216" t="s">
        <v>1382</v>
      </c>
      <c r="L14" s="274"/>
      <c r="M14" s="344" t="str">
        <f t="shared" si="0"/>
        <v>N/A</v>
      </c>
      <c r="N14" s="243" t="s">
        <v>213</v>
      </c>
      <c r="O14" s="216" t="s">
        <v>214</v>
      </c>
      <c r="P14" s="216" t="s">
        <v>214</v>
      </c>
      <c r="Q14" s="216" t="s">
        <v>214</v>
      </c>
      <c r="R14" s="216" t="s">
        <v>214</v>
      </c>
      <c r="S14" s="216" t="s">
        <v>214</v>
      </c>
      <c r="T14" s="276">
        <f t="shared" si="2"/>
        <v>1</v>
      </c>
      <c r="U14" s="287">
        <f t="shared" si="3"/>
        <v>0</v>
      </c>
      <c r="V14" s="287">
        <f t="shared" si="4"/>
        <v>1</v>
      </c>
      <c r="W14" s="287">
        <f t="shared" si="1"/>
        <v>1</v>
      </c>
    </row>
    <row r="15" spans="1:23" s="334" customFormat="1" ht="87.65" x14ac:dyDescent="0.2">
      <c r="A15" s="210" t="s">
        <v>1383</v>
      </c>
      <c r="B15" s="367" t="s">
        <v>208</v>
      </c>
      <c r="C15" s="239" t="s">
        <v>208</v>
      </c>
      <c r="D15" s="239" t="s">
        <v>208</v>
      </c>
      <c r="E15" s="215" t="s">
        <v>208</v>
      </c>
      <c r="F15" s="253">
        <v>11.5</v>
      </c>
      <c r="G15" s="420" t="s">
        <v>240</v>
      </c>
      <c r="H15" s="254" t="s">
        <v>1384</v>
      </c>
      <c r="I15" s="219" t="s">
        <v>1385</v>
      </c>
      <c r="J15" s="215" t="s">
        <v>183</v>
      </c>
      <c r="K15" s="216" t="s">
        <v>1386</v>
      </c>
      <c r="L15" s="274"/>
      <c r="M15" s="344" t="str">
        <f t="shared" si="0"/>
        <v>N/A</v>
      </c>
      <c r="N15" s="243" t="s">
        <v>213</v>
      </c>
      <c r="O15" s="216" t="s">
        <v>214</v>
      </c>
      <c r="P15" s="216" t="s">
        <v>214</v>
      </c>
      <c r="Q15" s="216" t="s">
        <v>214</v>
      </c>
      <c r="R15" s="216" t="s">
        <v>214</v>
      </c>
      <c r="S15" s="216" t="s">
        <v>214</v>
      </c>
      <c r="T15" s="276">
        <f t="shared" si="2"/>
        <v>1</v>
      </c>
      <c r="U15" s="287">
        <f t="shared" si="3"/>
        <v>0</v>
      </c>
      <c r="V15" s="287">
        <f t="shared" si="4"/>
        <v>1</v>
      </c>
      <c r="W15" s="287">
        <f t="shared" si="1"/>
        <v>1</v>
      </c>
    </row>
    <row r="16" spans="1:23" s="334" customFormat="1" ht="137.75" x14ac:dyDescent="0.2">
      <c r="A16" s="210" t="s">
        <v>1387</v>
      </c>
      <c r="B16" s="367" t="s">
        <v>208</v>
      </c>
      <c r="C16" s="239" t="s">
        <v>208</v>
      </c>
      <c r="D16" s="239" t="s">
        <v>208</v>
      </c>
      <c r="E16" s="215"/>
      <c r="F16" s="253">
        <v>11.6</v>
      </c>
      <c r="G16" s="420" t="s">
        <v>474</v>
      </c>
      <c r="H16" s="254" t="s">
        <v>1388</v>
      </c>
      <c r="I16" s="219" t="s">
        <v>1389</v>
      </c>
      <c r="J16" s="215" t="s">
        <v>183</v>
      </c>
      <c r="K16" s="216" t="s">
        <v>1390</v>
      </c>
      <c r="L16" s="274"/>
      <c r="M16" s="344" t="str">
        <f t="shared" si="0"/>
        <v>N/A</v>
      </c>
      <c r="N16" s="243" t="s">
        <v>213</v>
      </c>
      <c r="O16" s="216" t="s">
        <v>214</v>
      </c>
      <c r="P16" s="216" t="s">
        <v>214</v>
      </c>
      <c r="Q16" s="216" t="s">
        <v>214</v>
      </c>
      <c r="R16" s="216" t="s">
        <v>214</v>
      </c>
      <c r="S16" s="216" t="s">
        <v>214</v>
      </c>
      <c r="T16" s="276">
        <f t="shared" si="2"/>
        <v>1</v>
      </c>
      <c r="U16" s="287">
        <f t="shared" si="3"/>
        <v>0</v>
      </c>
      <c r="V16" s="287">
        <f t="shared" si="4"/>
        <v>1</v>
      </c>
      <c r="W16" s="287">
        <f t="shared" si="1"/>
        <v>1</v>
      </c>
    </row>
    <row r="17" spans="1:25" s="334" customFormat="1" ht="87.65" x14ac:dyDescent="0.2">
      <c r="A17" s="210" t="s">
        <v>1391</v>
      </c>
      <c r="B17" s="367" t="s">
        <v>208</v>
      </c>
      <c r="C17" s="239" t="s">
        <v>208</v>
      </c>
      <c r="D17" s="239" t="s">
        <v>208</v>
      </c>
      <c r="E17" s="215"/>
      <c r="F17" s="253">
        <v>11.6</v>
      </c>
      <c r="G17" s="420" t="s">
        <v>479</v>
      </c>
      <c r="H17" s="254" t="s">
        <v>1392</v>
      </c>
      <c r="I17" s="219" t="s">
        <v>1393</v>
      </c>
      <c r="J17" s="215" t="s">
        <v>183</v>
      </c>
      <c r="K17" s="216" t="s">
        <v>1394</v>
      </c>
      <c r="L17" s="274"/>
      <c r="M17" s="344" t="str">
        <f t="shared" si="0"/>
        <v>N/A</v>
      </c>
      <c r="N17" s="243" t="s">
        <v>213</v>
      </c>
      <c r="O17" s="216" t="s">
        <v>214</v>
      </c>
      <c r="P17" s="216" t="s">
        <v>214</v>
      </c>
      <c r="Q17" s="216" t="s">
        <v>214</v>
      </c>
      <c r="R17" s="216" t="s">
        <v>214</v>
      </c>
      <c r="S17" s="216" t="s">
        <v>214</v>
      </c>
      <c r="T17" s="276">
        <f t="shared" si="2"/>
        <v>1</v>
      </c>
      <c r="U17" s="287">
        <f t="shared" si="3"/>
        <v>0</v>
      </c>
      <c r="V17" s="287">
        <f t="shared" si="4"/>
        <v>1</v>
      </c>
      <c r="W17" s="287">
        <f t="shared" si="1"/>
        <v>1</v>
      </c>
    </row>
    <row r="18" spans="1:25" s="334" customFormat="1" ht="37.6" x14ac:dyDescent="0.2">
      <c r="A18" s="210" t="s">
        <v>1395</v>
      </c>
      <c r="B18" s="243" t="s">
        <v>208</v>
      </c>
      <c r="C18" s="215" t="s">
        <v>208</v>
      </c>
      <c r="D18" s="215" t="s">
        <v>208</v>
      </c>
      <c r="E18" s="215"/>
      <c r="F18" s="253">
        <v>11.6</v>
      </c>
      <c r="G18" s="420" t="s">
        <v>484</v>
      </c>
      <c r="H18" s="254" t="s">
        <v>1396</v>
      </c>
      <c r="I18" s="219" t="s">
        <v>1397</v>
      </c>
      <c r="J18" s="215" t="s">
        <v>184</v>
      </c>
      <c r="K18" s="216" t="s">
        <v>1398</v>
      </c>
      <c r="L18" s="274"/>
      <c r="M18" s="344" t="str">
        <f t="shared" si="0"/>
        <v>N/A</v>
      </c>
      <c r="N18" s="243" t="s">
        <v>213</v>
      </c>
      <c r="O18" s="216" t="s">
        <v>214</v>
      </c>
      <c r="P18" s="216" t="s">
        <v>214</v>
      </c>
      <c r="Q18" s="216" t="s">
        <v>214</v>
      </c>
      <c r="R18" s="216" t="s">
        <v>214</v>
      </c>
      <c r="S18" s="216" t="s">
        <v>214</v>
      </c>
      <c r="T18" s="276">
        <f t="shared" si="2"/>
        <v>1</v>
      </c>
      <c r="U18" s="287">
        <f t="shared" si="3"/>
        <v>0</v>
      </c>
      <c r="V18" s="287">
        <f t="shared" si="4"/>
        <v>1</v>
      </c>
      <c r="W18" s="287">
        <f t="shared" si="1"/>
        <v>1</v>
      </c>
    </row>
    <row r="19" spans="1:25" s="334" customFormat="1" ht="25.05" x14ac:dyDescent="0.2">
      <c r="A19" s="210" t="s">
        <v>1399</v>
      </c>
      <c r="B19" s="243" t="s">
        <v>208</v>
      </c>
      <c r="C19" s="215"/>
      <c r="D19" s="215"/>
      <c r="E19" s="215"/>
      <c r="F19" s="253">
        <v>11.6</v>
      </c>
      <c r="G19" s="420" t="s">
        <v>489</v>
      </c>
      <c r="H19" s="254" t="s">
        <v>1400</v>
      </c>
      <c r="I19" s="219" t="s">
        <v>1401</v>
      </c>
      <c r="J19" s="215" t="s">
        <v>184</v>
      </c>
      <c r="K19" s="216" t="s">
        <v>1402</v>
      </c>
      <c r="L19" s="274"/>
      <c r="M19" s="344" t="str">
        <f t="shared" si="0"/>
        <v>N/A</v>
      </c>
      <c r="N19" s="243" t="s">
        <v>213</v>
      </c>
      <c r="O19" s="216" t="s">
        <v>214</v>
      </c>
      <c r="P19" s="216" t="s">
        <v>214</v>
      </c>
      <c r="Q19" s="216" t="s">
        <v>214</v>
      </c>
      <c r="R19" s="216" t="s">
        <v>214</v>
      </c>
      <c r="S19" s="216" t="s">
        <v>214</v>
      </c>
      <c r="T19" s="276">
        <f t="shared" si="2"/>
        <v>1</v>
      </c>
      <c r="U19" s="287">
        <f t="shared" si="3"/>
        <v>0</v>
      </c>
      <c r="V19" s="287">
        <f t="shared" si="4"/>
        <v>1</v>
      </c>
      <c r="W19" s="287">
        <f t="shared" si="1"/>
        <v>1</v>
      </c>
    </row>
    <row r="20" spans="1:25" x14ac:dyDescent="0.2">
      <c r="W20" s="287">
        <f>SUM(W4:W19)</f>
        <v>16</v>
      </c>
      <c r="Y20" s="287">
        <f>COUNTIF(N4:N19,"Maturity")</f>
        <v>1</v>
      </c>
    </row>
    <row r="21" spans="1:25" x14ac:dyDescent="0.2">
      <c r="L21" s="271" t="s">
        <v>364</v>
      </c>
      <c r="M21" s="272" t="str">
        <f>IF(W20&gt;0,"โปรดระวัง ท่านยังไม่ได้บันทึกผลการประเมินในข้อดังนี้","ตอบแบบประเมินครบถ้วน")</f>
        <v>โปรดระวัง ท่านยังไม่ได้บันทึกผลการประเมินในข้อดังนี้</v>
      </c>
    </row>
    <row r="22" spans="1:25" ht="46.35" customHeight="1" x14ac:dyDescent="0.2">
      <c r="M22" s="358" t="str">
        <f>IF(ISBLANK(L4),_xlfn.CONCAT(A4," , "),"")&amp;IF(ISBLANK(L5),_xlfn.CONCAT(A5," , "),"")&amp; IF(ISBLANK(L6),_xlfn.CONCAT(A6," , "),"")&amp; IF(ISBLANK(L7),_xlfn.CONCAT(A7," , "),"")&amp; IF(ISBLANK(L8),_xlfn.CONCAT(A8," , "),"")&amp; IF(ISBLANK(L9),_xlfn.CONCAT(A9," , "),"")&amp; IF(ISBLANK(L10),_xlfn.CONCAT(A10," , "),"")&amp; IF(ISBLANK(L11),_xlfn.CONCAT(A11," , "),"")&amp; IF(ISBLANK(L12),_xlfn.CONCAT(A12," , "),"")&amp; IF(ISBLANK(L13),_xlfn.CONCAT(A13," , "),"")&amp; IF(ISBLANK(L14),_xlfn.CONCAT(A14," , "),"")&amp; IF(ISBLANK(L15),_xlfn.CONCAT(A15," , "),"")&amp; IF(ISBLANK(L16),_xlfn.CONCAT(A16," , "),"")&amp; IF(ISBLANK(L17),_xlfn.CONCAT(A17," , "),"")&amp; IF(ISBLANK(L18),_xlfn.CONCAT(A18," , "),"")&amp; IF(ISBLANK(L19),A19,"")</f>
        <v>D2.11 #1 , D2.11 #2 , D2.11 #3 , D2.11 #4 , D2.11 #5 , D2.11 #6 , D2.11 #7 , D2.11 #8 , D2.11 #9 , D2.11 #10 , D2.11 #11 , D2.11 #12 , D2.11 #13 , D2.11 #14 , D2.11 #15 , D2.11 #16</v>
      </c>
    </row>
  </sheetData>
  <sheetProtection selectLockedCells="1"/>
  <autoFilter ref="B1:S19" xr:uid="{04DF0554-2F1F-40B6-A959-ED16C0C40AF4}"/>
  <conditionalFormatting sqref="M21">
    <cfRule type="containsText" dxfId="5" priority="1" operator="containsText" text="โปรดระวัง ท่านยังไม่ได้บันทึกผลการประเมินในข้อดังนี้">
      <formula>NOT(ISERROR(SEARCH("โปรดระวัง ท่านยังไม่ได้บันทึกผลการประเมินในข้อดังนี้",M21)))</formula>
    </cfRule>
    <cfRule type="containsText" dxfId="4" priority="2" operator="containsText" text="ตอบแบบประเมินครบถ้วน">
      <formula>NOT(ISERROR(SEARCH("ตอบแบบประเมินครบถ้วน",M21)))</formula>
    </cfRule>
  </conditionalFormatting>
  <dataValidations count="3">
    <dataValidation type="list" allowBlank="1" showInputMessage="1" showErrorMessage="1" sqref="N4:N19" xr:uid="{4FD0BD6A-717B-47DA-BA42-3EF35E692282}">
      <formula1>"Yes/Partial/No, Maturity"</formula1>
    </dataValidation>
    <dataValidation type="list" allowBlank="1" showInputMessage="1" showErrorMessage="1" sqref="L5" xr:uid="{6A666637-7BA2-4F68-8F95-3FACB8FAB587}">
      <formula1>"M1,M2,M3,M4,M5,N/A"</formula1>
    </dataValidation>
    <dataValidation type="list" allowBlank="1" showInputMessage="1" showErrorMessage="1" sqref="L6:L19 L4" xr:uid="{F0508DBB-6810-4778-A245-88C555856C23}">
      <formula1>"Yes,Partial,No,N/A"</formula1>
    </dataValidation>
  </dataValidations>
  <pageMargins left="0.25" right="0.25" top="0.5" bottom="0.5" header="0.3" footer="0.3"/>
  <pageSetup paperSize="9" scale="70" pageOrder="overThenDown" orientation="landscape" horizontalDpi="1200" verticalDpi="1200" r:id="rId1"/>
  <headerFooter>
    <oddHeader>&amp;L&amp;"TH Sarabun New,Regular"&amp;14แนวทางการประเมินสำหรับผู้ประกอบธุรกิจภายใต้หน่วยงานกำกับดูแล (IT Audit Program)&amp;R&amp;"TH Sarabun New,Regular"&amp;14Authorised Restricted Use – Confidential</oddHeader>
    <oddFooter>&amp;L&amp;"TH Sarabun New,Regular"&amp;14หมวด 2.12 การบริหารจัดการเหตุการณ์ผิดปกติด้าน IT และปัญหาด้าน IT (IT incident management)&amp;R&amp;"TH Sarabun New,Regular"&amp;14&amp;P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7DEE42-8CDE-481D-87C9-E406B36FC64B}">
  <sheetPr codeName="Sheet23">
    <tabColor theme="9" tint="0.39997558519241921"/>
  </sheetPr>
  <dimension ref="A1:Y24"/>
  <sheetViews>
    <sheetView topLeftCell="K1" zoomScale="70" zoomScaleNormal="70" workbookViewId="0">
      <pane ySplit="1" topLeftCell="A10" activePane="bottomLeft" state="frozen"/>
      <selection pane="bottomLeft" activeCell="L13" sqref="L13"/>
    </sheetView>
  </sheetViews>
  <sheetFormatPr defaultColWidth="8.19921875" defaultRowHeight="12.55" x14ac:dyDescent="0.2"/>
  <cols>
    <col min="1" max="1" width="10.19921875" style="287" customWidth="1"/>
    <col min="2" max="5" width="9.19921875" style="287" customWidth="1"/>
    <col min="6" max="7" width="15.19921875" style="276" customWidth="1"/>
    <col min="8" max="8" width="18.19921875" style="276" customWidth="1"/>
    <col min="9" max="9" width="50.19921875" style="287" customWidth="1"/>
    <col min="10" max="10" width="20.19921875" style="276" customWidth="1"/>
    <col min="11" max="11" width="120.19921875" style="287" customWidth="1"/>
    <col min="12" max="12" width="18.69921875" style="276" customWidth="1"/>
    <col min="13" max="13" width="50.69921875" style="287" customWidth="1"/>
    <col min="14" max="14" width="33" style="276" bestFit="1" customWidth="1"/>
    <col min="15" max="15" width="50.19921875" style="368" bestFit="1" customWidth="1"/>
    <col min="16" max="16" width="49.69921875" style="368" bestFit="1" customWidth="1"/>
    <col min="17" max="17" width="50.09765625" style="368" bestFit="1" customWidth="1"/>
    <col min="18" max="19" width="50.19921875" style="368" bestFit="1" customWidth="1"/>
    <col min="20" max="22" width="2" style="287" hidden="1" customWidth="1"/>
    <col min="23" max="25" width="8.19921875" style="287" hidden="1" customWidth="1"/>
    <col min="26" max="26" width="8.19921875" style="287" customWidth="1"/>
    <col min="27" max="16384" width="8.19921875" style="287"/>
  </cols>
  <sheetData>
    <row r="1" spans="1:23" s="276" customFormat="1" ht="37.6" x14ac:dyDescent="0.2">
      <c r="A1" s="198" t="s">
        <v>181</v>
      </c>
      <c r="B1" s="199" t="s">
        <v>182</v>
      </c>
      <c r="C1" s="200" t="s">
        <v>183</v>
      </c>
      <c r="D1" s="201" t="s">
        <v>184</v>
      </c>
      <c r="E1" s="202" t="s">
        <v>185</v>
      </c>
      <c r="F1" s="198" t="s">
        <v>186</v>
      </c>
      <c r="G1" s="203" t="s">
        <v>187</v>
      </c>
      <c r="H1" s="204" t="s">
        <v>188</v>
      </c>
      <c r="I1" s="205" t="s">
        <v>189</v>
      </c>
      <c r="J1" s="206" t="s">
        <v>190</v>
      </c>
      <c r="K1" s="206" t="s">
        <v>191</v>
      </c>
      <c r="L1" s="206" t="s">
        <v>192</v>
      </c>
      <c r="M1" s="206" t="s">
        <v>111</v>
      </c>
      <c r="N1" s="206" t="s">
        <v>193</v>
      </c>
      <c r="O1" s="207" t="s">
        <v>194</v>
      </c>
      <c r="P1" s="207" t="s">
        <v>195</v>
      </c>
      <c r="Q1" s="208" t="s">
        <v>196</v>
      </c>
      <c r="R1" s="208" t="s">
        <v>197</v>
      </c>
      <c r="S1" s="207" t="s">
        <v>198</v>
      </c>
    </row>
    <row r="2" spans="1:23" s="373" customFormat="1" x14ac:dyDescent="0.2">
      <c r="A2" s="456"/>
      <c r="B2" s="456"/>
      <c r="C2" s="456"/>
      <c r="D2" s="457"/>
      <c r="E2" s="458"/>
      <c r="F2" s="457" t="s">
        <v>365</v>
      </c>
      <c r="G2" s="457"/>
      <c r="H2" s="456"/>
      <c r="I2" s="456"/>
      <c r="J2" s="456"/>
      <c r="K2" s="456"/>
      <c r="L2" s="283"/>
      <c r="M2" s="456"/>
      <c r="N2" s="456"/>
      <c r="O2" s="372" t="s">
        <v>200</v>
      </c>
      <c r="P2" s="372" t="s">
        <v>201</v>
      </c>
      <c r="Q2" s="372" t="s">
        <v>202</v>
      </c>
      <c r="R2" s="372" t="s">
        <v>203</v>
      </c>
      <c r="S2" s="372" t="s">
        <v>204</v>
      </c>
    </row>
    <row r="3" spans="1:23" s="377" customFormat="1" x14ac:dyDescent="0.25">
      <c r="A3" s="459"/>
      <c r="B3" s="459"/>
      <c r="C3" s="459"/>
      <c r="D3" s="376"/>
      <c r="E3" s="460"/>
      <c r="F3" s="376" t="s">
        <v>1403</v>
      </c>
      <c r="G3" s="376"/>
      <c r="H3" s="459"/>
      <c r="I3" s="459"/>
      <c r="J3" s="459"/>
      <c r="K3" s="459"/>
      <c r="L3" s="461"/>
      <c r="M3" s="462"/>
      <c r="N3" s="459"/>
      <c r="O3" s="459"/>
      <c r="P3" s="459"/>
      <c r="Q3" s="459"/>
      <c r="R3" s="459"/>
      <c r="S3" s="459"/>
    </row>
    <row r="4" spans="1:23" ht="75.150000000000006" x14ac:dyDescent="0.2">
      <c r="A4" s="361" t="s">
        <v>1404</v>
      </c>
      <c r="B4" s="361" t="s">
        <v>208</v>
      </c>
      <c r="C4" s="361" t="s">
        <v>208</v>
      </c>
      <c r="D4" s="361" t="s">
        <v>208</v>
      </c>
      <c r="E4" s="448"/>
      <c r="F4" s="254">
        <v>12.1</v>
      </c>
      <c r="G4" s="254">
        <v>1</v>
      </c>
      <c r="H4" s="254" t="s">
        <v>1405</v>
      </c>
      <c r="I4" s="216" t="s">
        <v>1406</v>
      </c>
      <c r="J4" s="210" t="s">
        <v>183</v>
      </c>
      <c r="K4" s="216" t="s">
        <v>1407</v>
      </c>
      <c r="L4" s="465"/>
      <c r="M4" s="216" t="str">
        <f t="shared" ref="M4:M21" si="0">IFERROR(IF(N4="Maturity",HLOOKUP(L4,$O$2:$S$200,ROW()-1,0),"N/A"),"")</f>
        <v>N/A</v>
      </c>
      <c r="N4" s="361" t="s">
        <v>213</v>
      </c>
      <c r="O4" s="216" t="s">
        <v>214</v>
      </c>
      <c r="P4" s="216" t="s">
        <v>214</v>
      </c>
      <c r="Q4" s="216" t="s">
        <v>214</v>
      </c>
      <c r="R4" s="216" t="s">
        <v>214</v>
      </c>
      <c r="S4" s="216" t="s">
        <v>214</v>
      </c>
      <c r="T4" s="276">
        <f>IF(OR(L4="Yes",L4="M3",L4="M4",L4="M5"),3,IF(OR(L4="Partial",L4="M2"),2,IF(L4="N/A",0,1)))</f>
        <v>1</v>
      </c>
      <c r="U4" s="287">
        <f>IF(L4="M4",1,IF(L4="M5",2,0))</f>
        <v>0</v>
      </c>
      <c r="V4" s="287">
        <f>T4+U4</f>
        <v>1</v>
      </c>
      <c r="W4" s="287">
        <f t="shared" ref="W4:W21" si="1">IF(ISBLANK(L4),1,0)</f>
        <v>1</v>
      </c>
    </row>
    <row r="5" spans="1:23" ht="137.75" x14ac:dyDescent="0.2">
      <c r="A5" s="210" t="s">
        <v>1408</v>
      </c>
      <c r="B5" s="210" t="s">
        <v>208</v>
      </c>
      <c r="C5" s="210" t="s">
        <v>208</v>
      </c>
      <c r="D5" s="210" t="s">
        <v>208</v>
      </c>
      <c r="E5" s="401"/>
      <c r="F5" s="254" t="s">
        <v>1409</v>
      </c>
      <c r="G5" s="254">
        <v>1</v>
      </c>
      <c r="H5" s="254" t="s">
        <v>1410</v>
      </c>
      <c r="I5" s="216" t="s">
        <v>1411</v>
      </c>
      <c r="J5" s="215" t="s">
        <v>183</v>
      </c>
      <c r="K5" s="216" t="s">
        <v>1412</v>
      </c>
      <c r="L5" s="451"/>
      <c r="M5" s="216" t="str">
        <f t="shared" si="0"/>
        <v/>
      </c>
      <c r="N5" s="215" t="s">
        <v>219</v>
      </c>
      <c r="O5" s="216" t="s">
        <v>1413</v>
      </c>
      <c r="P5" s="216" t="s">
        <v>1414</v>
      </c>
      <c r="Q5" s="216" t="s">
        <v>1415</v>
      </c>
      <c r="R5" s="216" t="s">
        <v>1416</v>
      </c>
      <c r="S5" s="216" t="s">
        <v>1417</v>
      </c>
      <c r="T5" s="276">
        <f t="shared" ref="T5:T21" si="2">IF(OR(L5="Yes",L5="M3",L5="M4",L5="M5"),3,IF(OR(L5="Partial",L5="M2"),2,IF(L5="N/A",0,1)))</f>
        <v>1</v>
      </c>
      <c r="U5" s="287">
        <f t="shared" ref="U5:U21" si="3">IF(L5="M4",1,IF(L5="M5",2,0))</f>
        <v>0</v>
      </c>
      <c r="V5" s="287">
        <f t="shared" ref="V5:V21" si="4">T5+U5</f>
        <v>1</v>
      </c>
      <c r="W5" s="287">
        <f t="shared" si="1"/>
        <v>1</v>
      </c>
    </row>
    <row r="6" spans="1:23" ht="75.150000000000006" x14ac:dyDescent="0.2">
      <c r="A6" s="210" t="s">
        <v>1418</v>
      </c>
      <c r="B6" s="210" t="s">
        <v>208</v>
      </c>
      <c r="C6" s="210" t="s">
        <v>208</v>
      </c>
      <c r="D6" s="210" t="s">
        <v>208</v>
      </c>
      <c r="E6" s="401"/>
      <c r="F6" s="254" t="s">
        <v>1419</v>
      </c>
      <c r="G6" s="254" t="s">
        <v>474</v>
      </c>
      <c r="H6" s="254" t="s">
        <v>1420</v>
      </c>
      <c r="I6" s="216" t="s">
        <v>1421</v>
      </c>
      <c r="J6" s="210" t="s">
        <v>183</v>
      </c>
      <c r="K6" s="216" t="s">
        <v>1422</v>
      </c>
      <c r="L6" s="451"/>
      <c r="M6" s="216" t="str">
        <f t="shared" si="0"/>
        <v>N/A</v>
      </c>
      <c r="N6" s="361" t="s">
        <v>213</v>
      </c>
      <c r="O6" s="216" t="s">
        <v>214</v>
      </c>
      <c r="P6" s="216" t="s">
        <v>214</v>
      </c>
      <c r="Q6" s="216" t="s">
        <v>214</v>
      </c>
      <c r="R6" s="216" t="s">
        <v>214</v>
      </c>
      <c r="S6" s="216" t="s">
        <v>214</v>
      </c>
      <c r="T6" s="276">
        <f t="shared" si="2"/>
        <v>1</v>
      </c>
      <c r="U6" s="287">
        <f t="shared" si="3"/>
        <v>0</v>
      </c>
      <c r="V6" s="287">
        <f t="shared" si="4"/>
        <v>1</v>
      </c>
      <c r="W6" s="287">
        <f t="shared" si="1"/>
        <v>1</v>
      </c>
    </row>
    <row r="7" spans="1:23" ht="187.85" x14ac:dyDescent="0.2">
      <c r="A7" s="210" t="s">
        <v>1423</v>
      </c>
      <c r="B7" s="210" t="s">
        <v>208</v>
      </c>
      <c r="C7" s="210" t="s">
        <v>208</v>
      </c>
      <c r="D7" s="210" t="s">
        <v>208</v>
      </c>
      <c r="E7" s="401"/>
      <c r="F7" s="254" t="s">
        <v>1419</v>
      </c>
      <c r="G7" s="254" t="s">
        <v>479</v>
      </c>
      <c r="H7" s="254" t="s">
        <v>1424</v>
      </c>
      <c r="I7" s="216" t="s">
        <v>1425</v>
      </c>
      <c r="J7" s="210" t="s">
        <v>183</v>
      </c>
      <c r="K7" s="216" t="s">
        <v>1426</v>
      </c>
      <c r="L7" s="451"/>
      <c r="M7" s="216" t="str">
        <f t="shared" si="0"/>
        <v>N/A</v>
      </c>
      <c r="N7" s="361" t="s">
        <v>213</v>
      </c>
      <c r="O7" s="216" t="s">
        <v>214</v>
      </c>
      <c r="P7" s="216" t="s">
        <v>214</v>
      </c>
      <c r="Q7" s="216" t="s">
        <v>214</v>
      </c>
      <c r="R7" s="216" t="s">
        <v>214</v>
      </c>
      <c r="S7" s="216" t="s">
        <v>214</v>
      </c>
      <c r="T7" s="276">
        <f t="shared" si="2"/>
        <v>1</v>
      </c>
      <c r="U7" s="287">
        <f t="shared" si="3"/>
        <v>0</v>
      </c>
      <c r="V7" s="287">
        <f t="shared" si="4"/>
        <v>1</v>
      </c>
      <c r="W7" s="287">
        <f t="shared" si="1"/>
        <v>1</v>
      </c>
    </row>
    <row r="8" spans="1:23" ht="175.3" x14ac:dyDescent="0.2">
      <c r="A8" s="210" t="s">
        <v>1427</v>
      </c>
      <c r="B8" s="210" t="s">
        <v>208</v>
      </c>
      <c r="C8" s="210" t="s">
        <v>208</v>
      </c>
      <c r="D8" s="210" t="s">
        <v>208</v>
      </c>
      <c r="E8" s="401"/>
      <c r="F8" s="254" t="s">
        <v>1419</v>
      </c>
      <c r="G8" s="254" t="s">
        <v>484</v>
      </c>
      <c r="H8" s="254" t="s">
        <v>1428</v>
      </c>
      <c r="I8" s="216" t="s">
        <v>1429</v>
      </c>
      <c r="J8" s="215" t="s">
        <v>183</v>
      </c>
      <c r="K8" s="216" t="s">
        <v>1430</v>
      </c>
      <c r="L8" s="451"/>
      <c r="M8" s="216" t="str">
        <f t="shared" si="0"/>
        <v/>
      </c>
      <c r="N8" s="250" t="s">
        <v>219</v>
      </c>
      <c r="O8" s="216" t="s">
        <v>1431</v>
      </c>
      <c r="P8" s="216" t="s">
        <v>1432</v>
      </c>
      <c r="Q8" s="244" t="s">
        <v>1433</v>
      </c>
      <c r="R8" s="216" t="s">
        <v>1434</v>
      </c>
      <c r="S8" s="216" t="s">
        <v>1435</v>
      </c>
      <c r="T8" s="276">
        <f t="shared" si="2"/>
        <v>1</v>
      </c>
      <c r="U8" s="287">
        <f t="shared" si="3"/>
        <v>0</v>
      </c>
      <c r="V8" s="287">
        <f t="shared" si="4"/>
        <v>1</v>
      </c>
      <c r="W8" s="287">
        <f t="shared" si="1"/>
        <v>1</v>
      </c>
    </row>
    <row r="9" spans="1:23" ht="175.3" x14ac:dyDescent="0.2">
      <c r="A9" s="210" t="s">
        <v>1436</v>
      </c>
      <c r="B9" s="210" t="s">
        <v>208</v>
      </c>
      <c r="C9" s="210" t="s">
        <v>208</v>
      </c>
      <c r="D9" s="210" t="s">
        <v>208</v>
      </c>
      <c r="E9" s="401"/>
      <c r="F9" s="254" t="s">
        <v>1419</v>
      </c>
      <c r="G9" s="254" t="s">
        <v>489</v>
      </c>
      <c r="H9" s="254" t="s">
        <v>1437</v>
      </c>
      <c r="I9" s="216" t="s">
        <v>1438</v>
      </c>
      <c r="J9" s="215" t="s">
        <v>183</v>
      </c>
      <c r="K9" s="216" t="s">
        <v>1439</v>
      </c>
      <c r="L9" s="451"/>
      <c r="M9" s="216" t="str">
        <f t="shared" si="0"/>
        <v/>
      </c>
      <c r="N9" s="250" t="s">
        <v>219</v>
      </c>
      <c r="O9" s="216" t="s">
        <v>1440</v>
      </c>
      <c r="P9" s="221" t="s">
        <v>1441</v>
      </c>
      <c r="Q9" s="216" t="s">
        <v>1442</v>
      </c>
      <c r="R9" s="216" t="s">
        <v>1443</v>
      </c>
      <c r="S9" s="216" t="s">
        <v>1444</v>
      </c>
      <c r="T9" s="276">
        <f t="shared" si="2"/>
        <v>1</v>
      </c>
      <c r="U9" s="287">
        <f t="shared" si="3"/>
        <v>0</v>
      </c>
      <c r="V9" s="287">
        <f t="shared" si="4"/>
        <v>1</v>
      </c>
      <c r="W9" s="287">
        <f t="shared" si="1"/>
        <v>1</v>
      </c>
    </row>
    <row r="10" spans="1:23" ht="150.30000000000001" x14ac:dyDescent="0.2">
      <c r="A10" s="210" t="s">
        <v>1445</v>
      </c>
      <c r="B10" s="210" t="s">
        <v>208</v>
      </c>
      <c r="C10" s="210" t="s">
        <v>208</v>
      </c>
      <c r="D10" s="210" t="s">
        <v>208</v>
      </c>
      <c r="E10" s="401"/>
      <c r="F10" s="254" t="s">
        <v>1446</v>
      </c>
      <c r="G10" s="254">
        <v>1</v>
      </c>
      <c r="H10" s="254" t="s">
        <v>1447</v>
      </c>
      <c r="I10" s="216" t="s">
        <v>1448</v>
      </c>
      <c r="J10" s="215" t="s">
        <v>182</v>
      </c>
      <c r="K10" s="216" t="s">
        <v>1449</v>
      </c>
      <c r="L10" s="451"/>
      <c r="M10" s="216" t="str">
        <f t="shared" si="0"/>
        <v>N/A</v>
      </c>
      <c r="N10" s="250" t="s">
        <v>213</v>
      </c>
      <c r="O10" s="216" t="s">
        <v>214</v>
      </c>
      <c r="P10" s="216" t="s">
        <v>214</v>
      </c>
      <c r="Q10" s="216" t="s">
        <v>214</v>
      </c>
      <c r="R10" s="216" t="s">
        <v>214</v>
      </c>
      <c r="S10" s="216" t="s">
        <v>214</v>
      </c>
      <c r="T10" s="276">
        <f t="shared" si="2"/>
        <v>1</v>
      </c>
      <c r="U10" s="287">
        <f t="shared" si="3"/>
        <v>0</v>
      </c>
      <c r="V10" s="287">
        <f t="shared" si="4"/>
        <v>1</v>
      </c>
      <c r="W10" s="287">
        <f t="shared" si="1"/>
        <v>1</v>
      </c>
    </row>
    <row r="11" spans="1:23" ht="62.65" x14ac:dyDescent="0.2">
      <c r="A11" s="306" t="s">
        <v>1450</v>
      </c>
      <c r="B11" s="306" t="s">
        <v>208</v>
      </c>
      <c r="C11" s="306" t="s">
        <v>208</v>
      </c>
      <c r="D11" s="306" t="s">
        <v>208</v>
      </c>
      <c r="E11" s="463"/>
      <c r="F11" s="254" t="s">
        <v>1446</v>
      </c>
      <c r="G11" s="464">
        <v>2</v>
      </c>
      <c r="H11" s="464" t="s">
        <v>1451</v>
      </c>
      <c r="I11" s="244" t="s">
        <v>1452</v>
      </c>
      <c r="J11" s="254" t="s">
        <v>183</v>
      </c>
      <c r="K11" s="244" t="s">
        <v>1453</v>
      </c>
      <c r="L11" s="451"/>
      <c r="M11" s="216" t="str">
        <f t="shared" si="0"/>
        <v>N/A</v>
      </c>
      <c r="N11" s="261" t="s">
        <v>213</v>
      </c>
      <c r="O11" s="244" t="s">
        <v>214</v>
      </c>
      <c r="P11" s="244" t="s">
        <v>214</v>
      </c>
      <c r="Q11" s="244" t="s">
        <v>214</v>
      </c>
      <c r="R11" s="244" t="s">
        <v>214</v>
      </c>
      <c r="S11" s="244" t="s">
        <v>214</v>
      </c>
      <c r="T11" s="276">
        <f t="shared" si="2"/>
        <v>1</v>
      </c>
      <c r="U11" s="287">
        <f t="shared" si="3"/>
        <v>0</v>
      </c>
      <c r="V11" s="287">
        <f t="shared" si="4"/>
        <v>1</v>
      </c>
      <c r="W11" s="287">
        <f t="shared" si="1"/>
        <v>1</v>
      </c>
    </row>
    <row r="12" spans="1:23" ht="25.05" x14ac:dyDescent="0.2">
      <c r="A12" s="210" t="s">
        <v>1454</v>
      </c>
      <c r="B12" s="210" t="s">
        <v>208</v>
      </c>
      <c r="C12" s="401"/>
      <c r="D12" s="401"/>
      <c r="E12" s="401"/>
      <c r="F12" s="254" t="s">
        <v>1446</v>
      </c>
      <c r="G12" s="254">
        <v>3</v>
      </c>
      <c r="H12" s="254" t="s">
        <v>1455</v>
      </c>
      <c r="I12" s="216" t="s">
        <v>1456</v>
      </c>
      <c r="J12" s="215" t="s">
        <v>183</v>
      </c>
      <c r="K12" s="216" t="s">
        <v>1457</v>
      </c>
      <c r="L12" s="451"/>
      <c r="M12" s="216" t="str">
        <f t="shared" si="0"/>
        <v>N/A</v>
      </c>
      <c r="N12" s="250" t="s">
        <v>213</v>
      </c>
      <c r="O12" s="216" t="s">
        <v>214</v>
      </c>
      <c r="P12" s="216" t="s">
        <v>214</v>
      </c>
      <c r="Q12" s="216" t="s">
        <v>214</v>
      </c>
      <c r="R12" s="216" t="s">
        <v>214</v>
      </c>
      <c r="S12" s="216" t="s">
        <v>214</v>
      </c>
      <c r="T12" s="276">
        <f t="shared" si="2"/>
        <v>1</v>
      </c>
      <c r="U12" s="287">
        <f t="shared" si="3"/>
        <v>0</v>
      </c>
      <c r="V12" s="287">
        <f t="shared" si="4"/>
        <v>1</v>
      </c>
      <c r="W12" s="287">
        <f t="shared" si="1"/>
        <v>1</v>
      </c>
    </row>
    <row r="13" spans="1:23" ht="50.1" x14ac:dyDescent="0.2">
      <c r="A13" s="210" t="s">
        <v>1458</v>
      </c>
      <c r="B13" s="210" t="s">
        <v>208</v>
      </c>
      <c r="C13" s="210" t="s">
        <v>208</v>
      </c>
      <c r="D13" s="210" t="s">
        <v>208</v>
      </c>
      <c r="E13" s="401"/>
      <c r="F13" s="254">
        <v>12.3</v>
      </c>
      <c r="G13" s="254">
        <v>1</v>
      </c>
      <c r="H13" s="254" t="s">
        <v>1459</v>
      </c>
      <c r="I13" s="216" t="s">
        <v>1460</v>
      </c>
      <c r="J13" s="210" t="s">
        <v>183</v>
      </c>
      <c r="K13" s="216" t="s">
        <v>1461</v>
      </c>
      <c r="L13" s="451"/>
      <c r="M13" s="216" t="str">
        <f t="shared" si="0"/>
        <v>N/A</v>
      </c>
      <c r="N13" s="250" t="s">
        <v>213</v>
      </c>
      <c r="O13" s="216" t="s">
        <v>214</v>
      </c>
      <c r="P13" s="216" t="s">
        <v>214</v>
      </c>
      <c r="Q13" s="216" t="s">
        <v>214</v>
      </c>
      <c r="R13" s="216" t="s">
        <v>214</v>
      </c>
      <c r="S13" s="216" t="s">
        <v>214</v>
      </c>
      <c r="T13" s="276">
        <f t="shared" si="2"/>
        <v>1</v>
      </c>
      <c r="U13" s="287">
        <f t="shared" si="3"/>
        <v>0</v>
      </c>
      <c r="V13" s="287">
        <f t="shared" si="4"/>
        <v>1</v>
      </c>
      <c r="W13" s="287">
        <f t="shared" si="1"/>
        <v>1</v>
      </c>
    </row>
    <row r="14" spans="1:23" ht="112.7" x14ac:dyDescent="0.2">
      <c r="A14" s="210" t="s">
        <v>1462</v>
      </c>
      <c r="B14" s="210" t="s">
        <v>208</v>
      </c>
      <c r="C14" s="210" t="s">
        <v>208</v>
      </c>
      <c r="D14" s="210" t="s">
        <v>208</v>
      </c>
      <c r="E14" s="401"/>
      <c r="F14" s="254">
        <v>12.4</v>
      </c>
      <c r="G14" s="254">
        <v>1</v>
      </c>
      <c r="H14" s="254" t="s">
        <v>1463</v>
      </c>
      <c r="I14" s="216" t="s">
        <v>1464</v>
      </c>
      <c r="J14" s="210" t="s">
        <v>183</v>
      </c>
      <c r="K14" s="216" t="s">
        <v>1465</v>
      </c>
      <c r="L14" s="451"/>
      <c r="M14" s="216" t="str">
        <f t="shared" si="0"/>
        <v/>
      </c>
      <c r="N14" s="210" t="s">
        <v>219</v>
      </c>
      <c r="O14" s="216" t="s">
        <v>1466</v>
      </c>
      <c r="P14" s="216" t="s">
        <v>1467</v>
      </c>
      <c r="Q14" s="216" t="s">
        <v>1468</v>
      </c>
      <c r="R14" s="216" t="s">
        <v>1469</v>
      </c>
      <c r="S14" s="216" t="s">
        <v>1470</v>
      </c>
      <c r="T14" s="276">
        <f t="shared" si="2"/>
        <v>1</v>
      </c>
      <c r="U14" s="287">
        <f t="shared" si="3"/>
        <v>0</v>
      </c>
      <c r="V14" s="287">
        <f t="shared" si="4"/>
        <v>1</v>
      </c>
      <c r="W14" s="287">
        <f t="shared" si="1"/>
        <v>1</v>
      </c>
    </row>
    <row r="15" spans="1:23" ht="87.65" x14ac:dyDescent="0.2">
      <c r="A15" s="210" t="s">
        <v>1471</v>
      </c>
      <c r="B15" s="210" t="s">
        <v>208</v>
      </c>
      <c r="C15" s="210" t="s">
        <v>208</v>
      </c>
      <c r="D15" s="210" t="s">
        <v>208</v>
      </c>
      <c r="E15" s="401"/>
      <c r="F15" s="254">
        <v>12.5</v>
      </c>
      <c r="G15" s="254">
        <v>1</v>
      </c>
      <c r="H15" s="254" t="s">
        <v>1472</v>
      </c>
      <c r="I15" s="216" t="s">
        <v>1473</v>
      </c>
      <c r="J15" s="210" t="s">
        <v>183</v>
      </c>
      <c r="K15" s="216" t="s">
        <v>1474</v>
      </c>
      <c r="L15" s="451"/>
      <c r="M15" s="216" t="str">
        <f t="shared" si="0"/>
        <v>N/A</v>
      </c>
      <c r="N15" s="250" t="s">
        <v>213</v>
      </c>
      <c r="O15" s="216" t="s">
        <v>214</v>
      </c>
      <c r="P15" s="216" t="s">
        <v>214</v>
      </c>
      <c r="Q15" s="216" t="s">
        <v>214</v>
      </c>
      <c r="R15" s="216" t="s">
        <v>214</v>
      </c>
      <c r="S15" s="216" t="s">
        <v>214</v>
      </c>
      <c r="T15" s="276">
        <f t="shared" si="2"/>
        <v>1</v>
      </c>
      <c r="U15" s="287">
        <f t="shared" si="3"/>
        <v>0</v>
      </c>
      <c r="V15" s="287">
        <f t="shared" si="4"/>
        <v>1</v>
      </c>
      <c r="W15" s="287">
        <f t="shared" si="1"/>
        <v>1</v>
      </c>
    </row>
    <row r="16" spans="1:23" ht="62.65" x14ac:dyDescent="0.2">
      <c r="A16" s="210" t="s">
        <v>1475</v>
      </c>
      <c r="B16" s="210" t="s">
        <v>208</v>
      </c>
      <c r="C16" s="210" t="s">
        <v>208</v>
      </c>
      <c r="D16" s="210" t="s">
        <v>208</v>
      </c>
      <c r="E16" s="401"/>
      <c r="F16" s="254">
        <v>12.5</v>
      </c>
      <c r="G16" s="254">
        <v>2</v>
      </c>
      <c r="H16" s="254" t="s">
        <v>1476</v>
      </c>
      <c r="I16" s="216" t="s">
        <v>1477</v>
      </c>
      <c r="J16" s="210" t="s">
        <v>183</v>
      </c>
      <c r="K16" s="244" t="s">
        <v>1478</v>
      </c>
      <c r="L16" s="451"/>
      <c r="M16" s="216" t="str">
        <f t="shared" si="0"/>
        <v>N/A</v>
      </c>
      <c r="N16" s="250" t="s">
        <v>213</v>
      </c>
      <c r="O16" s="216" t="s">
        <v>214</v>
      </c>
      <c r="P16" s="216" t="s">
        <v>214</v>
      </c>
      <c r="Q16" s="216" t="s">
        <v>214</v>
      </c>
      <c r="R16" s="216" t="s">
        <v>214</v>
      </c>
      <c r="S16" s="216" t="s">
        <v>214</v>
      </c>
      <c r="T16" s="276">
        <f t="shared" si="2"/>
        <v>1</v>
      </c>
      <c r="U16" s="287">
        <f t="shared" si="3"/>
        <v>0</v>
      </c>
      <c r="V16" s="287">
        <f t="shared" si="4"/>
        <v>1</v>
      </c>
      <c r="W16" s="287">
        <f t="shared" si="1"/>
        <v>1</v>
      </c>
    </row>
    <row r="17" spans="1:25" ht="150.30000000000001" x14ac:dyDescent="0.2">
      <c r="A17" s="210" t="s">
        <v>1479</v>
      </c>
      <c r="B17" s="210" t="s">
        <v>208</v>
      </c>
      <c r="C17" s="210" t="s">
        <v>208</v>
      </c>
      <c r="D17" s="210" t="s">
        <v>208</v>
      </c>
      <c r="E17" s="211"/>
      <c r="F17" s="254">
        <v>12.5</v>
      </c>
      <c r="G17" s="254">
        <v>3</v>
      </c>
      <c r="H17" s="254" t="s">
        <v>1480</v>
      </c>
      <c r="I17" s="216" t="s">
        <v>1481</v>
      </c>
      <c r="J17" s="210" t="s">
        <v>184</v>
      </c>
      <c r="K17" s="244" t="s">
        <v>1482</v>
      </c>
      <c r="L17" s="451"/>
      <c r="M17" s="216" t="str">
        <f t="shared" si="0"/>
        <v/>
      </c>
      <c r="N17" s="210" t="s">
        <v>219</v>
      </c>
      <c r="O17" s="216" t="s">
        <v>1483</v>
      </c>
      <c r="P17" s="216" t="s">
        <v>1484</v>
      </c>
      <c r="Q17" s="216" t="s">
        <v>1485</v>
      </c>
      <c r="R17" s="216" t="s">
        <v>1486</v>
      </c>
      <c r="S17" s="216" t="s">
        <v>1487</v>
      </c>
      <c r="T17" s="276">
        <f t="shared" si="2"/>
        <v>1</v>
      </c>
      <c r="U17" s="287">
        <f t="shared" si="3"/>
        <v>0</v>
      </c>
      <c r="V17" s="287">
        <f t="shared" si="4"/>
        <v>1</v>
      </c>
      <c r="W17" s="287">
        <f t="shared" si="1"/>
        <v>1</v>
      </c>
    </row>
    <row r="18" spans="1:25" ht="25.05" x14ac:dyDescent="0.2">
      <c r="A18" s="210" t="s">
        <v>1488</v>
      </c>
      <c r="B18" s="210" t="s">
        <v>208</v>
      </c>
      <c r="C18" s="210"/>
      <c r="D18" s="210"/>
      <c r="E18" s="217"/>
      <c r="F18" s="254">
        <v>12.5</v>
      </c>
      <c r="G18" s="254">
        <v>4</v>
      </c>
      <c r="H18" s="254" t="s">
        <v>1489</v>
      </c>
      <c r="I18" s="216" t="s">
        <v>1490</v>
      </c>
      <c r="J18" s="210" t="s">
        <v>184</v>
      </c>
      <c r="K18" s="244" t="s">
        <v>1491</v>
      </c>
      <c r="L18" s="466"/>
      <c r="M18" s="216" t="str">
        <f t="shared" si="0"/>
        <v>N/A</v>
      </c>
      <c r="N18" s="250" t="s">
        <v>213</v>
      </c>
      <c r="O18" s="216" t="s">
        <v>214</v>
      </c>
      <c r="P18" s="216" t="s">
        <v>214</v>
      </c>
      <c r="Q18" s="216" t="s">
        <v>214</v>
      </c>
      <c r="R18" s="216" t="s">
        <v>214</v>
      </c>
      <c r="S18" s="216" t="s">
        <v>214</v>
      </c>
      <c r="T18" s="276">
        <f t="shared" si="2"/>
        <v>1</v>
      </c>
      <c r="U18" s="287">
        <f t="shared" si="3"/>
        <v>0</v>
      </c>
      <c r="V18" s="287">
        <f t="shared" si="4"/>
        <v>1</v>
      </c>
      <c r="W18" s="287">
        <f t="shared" si="1"/>
        <v>1</v>
      </c>
    </row>
    <row r="19" spans="1:25" ht="62.65" x14ac:dyDescent="0.2">
      <c r="A19" s="210" t="s">
        <v>1492</v>
      </c>
      <c r="B19" s="210" t="s">
        <v>208</v>
      </c>
      <c r="C19" s="210"/>
      <c r="D19" s="210"/>
      <c r="E19" s="211"/>
      <c r="F19" s="254">
        <v>12.5</v>
      </c>
      <c r="G19" s="254">
        <v>5</v>
      </c>
      <c r="H19" s="254" t="s">
        <v>1493</v>
      </c>
      <c r="I19" s="216" t="s">
        <v>1494</v>
      </c>
      <c r="J19" s="210" t="s">
        <v>183</v>
      </c>
      <c r="K19" s="244" t="s">
        <v>1495</v>
      </c>
      <c r="L19" s="451"/>
      <c r="M19" s="216" t="str">
        <f t="shared" si="0"/>
        <v>N/A</v>
      </c>
      <c r="N19" s="250" t="s">
        <v>213</v>
      </c>
      <c r="O19" s="216" t="s">
        <v>214</v>
      </c>
      <c r="P19" s="216" t="s">
        <v>214</v>
      </c>
      <c r="Q19" s="216" t="s">
        <v>214</v>
      </c>
      <c r="R19" s="216" t="s">
        <v>214</v>
      </c>
      <c r="S19" s="216" t="s">
        <v>214</v>
      </c>
      <c r="T19" s="276">
        <f t="shared" si="2"/>
        <v>1</v>
      </c>
      <c r="U19" s="287">
        <f t="shared" si="3"/>
        <v>0</v>
      </c>
      <c r="V19" s="287">
        <f t="shared" si="4"/>
        <v>1</v>
      </c>
      <c r="W19" s="287">
        <f t="shared" si="1"/>
        <v>1</v>
      </c>
    </row>
    <row r="20" spans="1:25" ht="75.150000000000006" x14ac:dyDescent="0.2">
      <c r="A20" s="210" t="s">
        <v>1496</v>
      </c>
      <c r="B20" s="210" t="s">
        <v>208</v>
      </c>
      <c r="C20" s="210" t="s">
        <v>208</v>
      </c>
      <c r="D20" s="210" t="s">
        <v>208</v>
      </c>
      <c r="E20" s="211"/>
      <c r="F20" s="254">
        <v>12.6</v>
      </c>
      <c r="G20" s="254"/>
      <c r="H20" s="254">
        <v>12.6</v>
      </c>
      <c r="I20" s="216" t="s">
        <v>1497</v>
      </c>
      <c r="J20" s="210" t="s">
        <v>183</v>
      </c>
      <c r="K20" s="244" t="s">
        <v>1498</v>
      </c>
      <c r="L20" s="451"/>
      <c r="M20" s="216" t="str">
        <f t="shared" si="0"/>
        <v>N/A</v>
      </c>
      <c r="N20" s="250" t="s">
        <v>213</v>
      </c>
      <c r="O20" s="216" t="s">
        <v>214</v>
      </c>
      <c r="P20" s="216" t="s">
        <v>214</v>
      </c>
      <c r="Q20" s="216" t="s">
        <v>214</v>
      </c>
      <c r="R20" s="216" t="s">
        <v>214</v>
      </c>
      <c r="S20" s="216" t="s">
        <v>214</v>
      </c>
      <c r="T20" s="276">
        <f t="shared" si="2"/>
        <v>1</v>
      </c>
      <c r="U20" s="287">
        <f t="shared" si="3"/>
        <v>0</v>
      </c>
      <c r="V20" s="287">
        <f t="shared" si="4"/>
        <v>1</v>
      </c>
      <c r="W20" s="287">
        <f t="shared" si="1"/>
        <v>1</v>
      </c>
    </row>
    <row r="21" spans="1:25" ht="162.80000000000001" x14ac:dyDescent="0.2">
      <c r="A21" s="210" t="s">
        <v>1499</v>
      </c>
      <c r="B21" s="210" t="s">
        <v>208</v>
      </c>
      <c r="C21" s="210" t="s">
        <v>208</v>
      </c>
      <c r="D21" s="210" t="s">
        <v>208</v>
      </c>
      <c r="E21" s="211"/>
      <c r="F21" s="254">
        <v>12.7</v>
      </c>
      <c r="G21" s="254"/>
      <c r="H21" s="254">
        <v>12.7</v>
      </c>
      <c r="I21" s="216" t="s">
        <v>1500</v>
      </c>
      <c r="J21" s="210" t="s">
        <v>183</v>
      </c>
      <c r="K21" s="244" t="s">
        <v>1501</v>
      </c>
      <c r="L21" s="451"/>
      <c r="M21" s="216" t="str">
        <f t="shared" si="0"/>
        <v/>
      </c>
      <c r="N21" s="210" t="s">
        <v>219</v>
      </c>
      <c r="O21" s="216" t="s">
        <v>1502</v>
      </c>
      <c r="P21" s="216" t="s">
        <v>1503</v>
      </c>
      <c r="Q21" s="216" t="s">
        <v>1504</v>
      </c>
      <c r="R21" s="244" t="s">
        <v>1505</v>
      </c>
      <c r="S21" s="216" t="s">
        <v>1506</v>
      </c>
      <c r="T21" s="276">
        <f t="shared" si="2"/>
        <v>1</v>
      </c>
      <c r="U21" s="287">
        <f t="shared" si="3"/>
        <v>0</v>
      </c>
      <c r="V21" s="287">
        <f t="shared" si="4"/>
        <v>1</v>
      </c>
      <c r="W21" s="287">
        <f t="shared" si="1"/>
        <v>1</v>
      </c>
    </row>
    <row r="22" spans="1:25" x14ac:dyDescent="0.2">
      <c r="W22" s="287">
        <f>SUM(W4:W21)</f>
        <v>18</v>
      </c>
      <c r="Y22" s="287">
        <f>COUNTIF(N4:N21,"Maturity")</f>
        <v>6</v>
      </c>
    </row>
    <row r="23" spans="1:25" x14ac:dyDescent="0.2">
      <c r="L23" s="271" t="s">
        <v>364</v>
      </c>
      <c r="M23" s="272" t="str">
        <f>IF(W22&gt;0,"โปรดระวัง ท่านยังไม่ได้บันทึกผลการประเมินในข้อดังนี้","ตอบแบบประเมินครบถ้วน")</f>
        <v>โปรดระวัง ท่านยังไม่ได้บันทึกผลการประเมินในข้อดังนี้</v>
      </c>
    </row>
    <row r="24" spans="1:25" ht="50.1" x14ac:dyDescent="0.2">
      <c r="M24" s="358" t="str">
        <f>IF(ISBLANK(L4),_xlfn.CONCAT(A4," , "),"")&amp;IF(ISBLANK(L5),_xlfn.CONCAT(A5," , "),"")&amp; IF(ISBLANK(L6),_xlfn.CONCAT(A6," , "),"")&amp; IF(ISBLANK(L7),_xlfn.CONCAT(A7," , "),"")&amp; IF(ISBLANK(L8),_xlfn.CONCAT(A8," , "),"")&amp; IF(ISBLANK(L9),_xlfn.CONCAT(A9," , "),"")&amp; IF(ISBLANK(L10),_xlfn.CONCAT(A10," , "),"")&amp; IF(ISBLANK(L11),_xlfn.CONCAT(A11," , "),"")&amp; IF(ISBLANK(L12),_xlfn.CONCAT(A12," , "),"")&amp; IF(ISBLANK(L13),_xlfn.CONCAT(A13," , "),"")&amp; IF(ISBLANK(L14),_xlfn.CONCAT(A14," , "),"")&amp; IF(ISBLANK(L15),_xlfn.CONCAT(A15," , "),"")&amp; IF(ISBLANK(L16),_xlfn.CONCAT(A16," , "),"")&amp; IF(ISBLANK(L17),_xlfn.CONCAT(A17," , "),"")&amp; IF(ISBLANK(L18),_xlfn.CONCAT(A18," , "),"")&amp; IF(ISBLANK(L19),_xlfn.CONCAT(A19," , "),"")&amp; IF(ISBLANK(L20),_xlfn.CONCAT(A20," , "),"")&amp; IF(ISBLANK(L21),A21,"")</f>
        <v>D2.12 #1 , D2.12 #2 , D2.12 #3 , D2.12 #4 , D2.12 #5 , D2.12 #6 , D2.12 #7 , D2.12 #8 , D2.12 #9 , D2.12 #10 , D2.12 #11 , D2.12 #12 , D2.12 #13 , D2.12 #14 , D2.12 #15 , D2.12 #16 , D2.12 #17 , D2.12 #18</v>
      </c>
    </row>
  </sheetData>
  <sheetProtection selectLockedCells="1"/>
  <autoFilter ref="B1:S21" xr:uid="{DAC84800-3BC8-46F2-8FD8-28170A7A46F7}"/>
  <conditionalFormatting sqref="M23">
    <cfRule type="containsText" dxfId="3" priority="1" operator="containsText" text="โปรดระวัง ท่านยังไม่ได้บันทึกผลการประเมินในข้อดังนี้">
      <formula>NOT(ISERROR(SEARCH("โปรดระวัง ท่านยังไม่ได้บันทึกผลการประเมินในข้อดังนี้",M23)))</formula>
    </cfRule>
    <cfRule type="containsText" dxfId="2" priority="2" operator="containsText" text="ตอบแบบประเมินครบถ้วน">
      <formula>NOT(ISERROR(SEARCH("ตอบแบบประเมินครบถ้วน",M23)))</formula>
    </cfRule>
  </conditionalFormatting>
  <dataValidations count="3">
    <dataValidation type="list" allowBlank="1" showInputMessage="1" showErrorMessage="1" sqref="N4:N20" xr:uid="{1FBD6089-6CA4-4DC9-B4CB-CC13D084B8A8}">
      <formula1>"Yes/Partial/No, Maturity"</formula1>
    </dataValidation>
    <dataValidation type="list" allowBlank="1" showInputMessage="1" showErrorMessage="1" sqref="L8:L9 L5 L14 L17 L21" xr:uid="{8ACD26A8-1154-4079-94C7-349F68EEA75F}">
      <formula1>"M1,M2,M3,M4,M5,N/A"</formula1>
    </dataValidation>
    <dataValidation type="list" allowBlank="1" showInputMessage="1" showErrorMessage="1" sqref="L4 L10:L13 L15:L16 L18:L20 L6:L7" xr:uid="{1FCA7CD0-D909-489D-8A66-CBB0A606792B}">
      <formula1>"Yes,Partial,No,N/A"</formula1>
    </dataValidation>
  </dataValidations>
  <pageMargins left="0.25" right="0.25" top="0.5" bottom="0.5" header="0.3" footer="0.3"/>
  <pageSetup paperSize="9" scale="70" pageOrder="overThenDown" orientation="landscape" horizontalDpi="1200" verticalDpi="1200" r:id="rId1"/>
  <headerFooter>
    <oddHeader>&amp;L&amp;"TH Sarabun New,Regular"&amp;14แนวทางการประเมินสำหรับผู้ประกอบธุรกิจภายใต้หน่วยงานกำกับดูแล (IT Audit Program)&amp;R&amp;"TH Sarabun New,Regular"&amp;14Authorised Restricted Use – Confidential</oddHeader>
    <oddFooter>&amp;L&amp;"TH Sarabun New,Regular"&amp;14หมวด 2.13 แผนฉุกเฉินด้าน IT (IT contingency plan)&amp;R&amp;"TH Sarabun New,Regular"&amp;14&amp;P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D5ECF3-BFB7-4461-A57D-563A5157CC94}">
  <sheetPr codeName="Sheet24">
    <tabColor theme="9" tint="0.39997558519241921"/>
  </sheetPr>
  <dimension ref="A1:X14"/>
  <sheetViews>
    <sheetView topLeftCell="H1" zoomScale="85" zoomScaleNormal="85" workbookViewId="0">
      <pane ySplit="1" topLeftCell="A8" activePane="bottomLeft" state="frozen"/>
      <selection pane="bottomLeft" activeCell="I8" sqref="I8"/>
    </sheetView>
  </sheetViews>
  <sheetFormatPr defaultColWidth="8.19921875" defaultRowHeight="12.55" x14ac:dyDescent="0.2"/>
  <cols>
    <col min="1" max="1" width="8.19921875" style="287"/>
    <col min="2" max="5" width="9.19921875" style="276" customWidth="1"/>
    <col min="6" max="7" width="15.19921875" style="276" customWidth="1"/>
    <col min="8" max="8" width="18.19921875" style="276" customWidth="1"/>
    <col min="9" max="9" width="81.19921875" style="368" customWidth="1"/>
    <col min="10" max="10" width="13.796875" style="368" customWidth="1"/>
    <col min="11" max="11" width="55.8984375" style="449" customWidth="1"/>
    <col min="12" max="12" width="18.69921875" style="356" customWidth="1"/>
    <col min="13" max="13" width="50.69921875" style="356" customWidth="1"/>
    <col min="14" max="14" width="32.19921875" style="356" bestFit="1" customWidth="1"/>
    <col min="15" max="15" width="25.19921875" style="368" customWidth="1"/>
    <col min="16" max="18" width="50.69921875" style="368" customWidth="1"/>
    <col min="19" max="19" width="29.09765625" style="368" customWidth="1"/>
    <col min="20" max="20" width="34.19921875" style="287" hidden="1" customWidth="1"/>
    <col min="21" max="24" width="8.19921875" style="287" hidden="1" customWidth="1"/>
    <col min="25" max="27" width="8.19921875" style="287" customWidth="1"/>
    <col min="28" max="16384" width="8.19921875" style="287"/>
  </cols>
  <sheetData>
    <row r="1" spans="1:23" s="276" customFormat="1" ht="37.6" x14ac:dyDescent="0.2">
      <c r="A1" s="198" t="s">
        <v>181</v>
      </c>
      <c r="B1" s="199" t="s">
        <v>182</v>
      </c>
      <c r="C1" s="200" t="s">
        <v>183</v>
      </c>
      <c r="D1" s="201" t="s">
        <v>184</v>
      </c>
      <c r="E1" s="202" t="s">
        <v>185</v>
      </c>
      <c r="F1" s="198" t="s">
        <v>186</v>
      </c>
      <c r="G1" s="203" t="s">
        <v>187</v>
      </c>
      <c r="H1" s="204" t="s">
        <v>188</v>
      </c>
      <c r="I1" s="205" t="s">
        <v>189</v>
      </c>
      <c r="J1" s="205" t="s">
        <v>190</v>
      </c>
      <c r="K1" s="206" t="s">
        <v>191</v>
      </c>
      <c r="L1" s="206" t="s">
        <v>192</v>
      </c>
      <c r="M1" s="206" t="s">
        <v>111</v>
      </c>
      <c r="N1" s="206" t="s">
        <v>193</v>
      </c>
      <c r="O1" s="207" t="s">
        <v>194</v>
      </c>
      <c r="P1" s="207" t="s">
        <v>195</v>
      </c>
      <c r="Q1" s="208" t="s">
        <v>196</v>
      </c>
      <c r="R1" s="208" t="s">
        <v>197</v>
      </c>
      <c r="S1" s="207" t="s">
        <v>198</v>
      </c>
    </row>
    <row r="2" spans="1:23" x14ac:dyDescent="0.2">
      <c r="A2" s="467"/>
      <c r="B2" s="467"/>
      <c r="C2" s="467"/>
      <c r="D2" s="467"/>
      <c r="E2" s="468"/>
      <c r="F2" s="280" t="s">
        <v>1507</v>
      </c>
      <c r="G2" s="469"/>
      <c r="H2" s="470"/>
      <c r="I2" s="471"/>
      <c r="J2" s="471"/>
      <c r="K2" s="471"/>
      <c r="L2" s="283"/>
      <c r="M2" s="283"/>
      <c r="N2" s="283"/>
      <c r="O2" s="283"/>
      <c r="P2" s="283"/>
      <c r="Q2" s="283"/>
      <c r="R2" s="283"/>
      <c r="S2" s="283"/>
      <c r="T2" s="472"/>
    </row>
    <row r="3" spans="1:23" ht="50.1" x14ac:dyDescent="0.2">
      <c r="A3" s="210" t="s">
        <v>1508</v>
      </c>
      <c r="B3" s="210" t="s">
        <v>208</v>
      </c>
      <c r="C3" s="210" t="s">
        <v>208</v>
      </c>
      <c r="D3" s="210" t="s">
        <v>208</v>
      </c>
      <c r="E3" s="217" t="s">
        <v>208</v>
      </c>
      <c r="F3" s="254">
        <v>1.1000000000000001</v>
      </c>
      <c r="G3" s="254"/>
      <c r="H3" s="254">
        <v>1.1000000000000001</v>
      </c>
      <c r="I3" s="214" t="s">
        <v>1509</v>
      </c>
      <c r="J3" s="214"/>
      <c r="K3" s="473"/>
      <c r="L3" s="474" t="s">
        <v>214</v>
      </c>
      <c r="M3" s="474"/>
      <c r="N3" s="474"/>
      <c r="O3" s="473"/>
      <c r="P3" s="473"/>
      <c r="Q3" s="473"/>
      <c r="R3" s="473"/>
      <c r="S3" s="473"/>
    </row>
    <row r="4" spans="1:23" ht="75.150000000000006" x14ac:dyDescent="0.2">
      <c r="A4" s="210" t="s">
        <v>1510</v>
      </c>
      <c r="B4" s="210" t="s">
        <v>208</v>
      </c>
      <c r="C4" s="210" t="s">
        <v>208</v>
      </c>
      <c r="D4" s="210" t="s">
        <v>208</v>
      </c>
      <c r="E4" s="217" t="s">
        <v>208</v>
      </c>
      <c r="F4" s="475">
        <v>1.2</v>
      </c>
      <c r="G4" s="476"/>
      <c r="H4" s="475">
        <v>1.2</v>
      </c>
      <c r="I4" s="214" t="s">
        <v>1511</v>
      </c>
      <c r="J4" s="214"/>
      <c r="K4" s="477"/>
      <c r="L4" s="474" t="s">
        <v>214</v>
      </c>
      <c r="M4" s="474"/>
      <c r="N4" s="474"/>
      <c r="O4" s="473"/>
      <c r="P4" s="473"/>
      <c r="Q4" s="473"/>
      <c r="R4" s="473"/>
      <c r="S4" s="473"/>
    </row>
    <row r="5" spans="1:23" s="368" customFormat="1" ht="25.05" x14ac:dyDescent="0.2">
      <c r="A5" s="210" t="s">
        <v>1512</v>
      </c>
      <c r="B5" s="210" t="s">
        <v>208</v>
      </c>
      <c r="C5" s="210" t="s">
        <v>208</v>
      </c>
      <c r="D5" s="210" t="s">
        <v>208</v>
      </c>
      <c r="E5" s="217" t="s">
        <v>208</v>
      </c>
      <c r="F5" s="254">
        <v>2</v>
      </c>
      <c r="G5" s="478"/>
      <c r="H5" s="254">
        <v>2</v>
      </c>
      <c r="I5" s="219" t="s">
        <v>1513</v>
      </c>
      <c r="J5" s="219"/>
      <c r="K5" s="473"/>
      <c r="L5" s="474" t="s">
        <v>214</v>
      </c>
      <c r="M5" s="474"/>
      <c r="N5" s="474"/>
      <c r="O5" s="473"/>
      <c r="P5" s="473"/>
      <c r="Q5" s="473"/>
      <c r="R5" s="473"/>
      <c r="S5" s="473"/>
    </row>
    <row r="6" spans="1:23" ht="313.05" x14ac:dyDescent="0.2">
      <c r="A6" s="210" t="s">
        <v>1514</v>
      </c>
      <c r="B6" s="210" t="s">
        <v>208</v>
      </c>
      <c r="C6" s="210" t="s">
        <v>208</v>
      </c>
      <c r="D6" s="210" t="s">
        <v>208</v>
      </c>
      <c r="E6" s="217" t="s">
        <v>208</v>
      </c>
      <c r="F6" s="254">
        <v>3.1</v>
      </c>
      <c r="G6" s="253"/>
      <c r="H6" s="215">
        <v>3.1</v>
      </c>
      <c r="I6" s="219" t="s">
        <v>1515</v>
      </c>
      <c r="J6" s="219"/>
      <c r="K6" s="477"/>
      <c r="L6" s="474" t="s">
        <v>214</v>
      </c>
      <c r="M6" s="474"/>
      <c r="N6" s="474"/>
      <c r="O6" s="473"/>
      <c r="P6" s="473"/>
      <c r="Q6" s="473"/>
      <c r="R6" s="473"/>
      <c r="S6" s="473"/>
    </row>
    <row r="7" spans="1:23" ht="37.6" x14ac:dyDescent="0.2">
      <c r="A7" s="210" t="s">
        <v>1516</v>
      </c>
      <c r="B7" s="210" t="s">
        <v>208</v>
      </c>
      <c r="C7" s="210" t="s">
        <v>208</v>
      </c>
      <c r="D7" s="210" t="s">
        <v>208</v>
      </c>
      <c r="E7" s="217" t="s">
        <v>208</v>
      </c>
      <c r="F7" s="261">
        <v>3.2</v>
      </c>
      <c r="G7" s="479"/>
      <c r="H7" s="258">
        <v>3.2</v>
      </c>
      <c r="I7" s="219" t="s">
        <v>1517</v>
      </c>
      <c r="J7" s="219"/>
      <c r="K7" s="477"/>
      <c r="L7" s="474" t="s">
        <v>214</v>
      </c>
      <c r="M7" s="480"/>
      <c r="N7" s="480"/>
      <c r="O7" s="477"/>
      <c r="P7" s="477"/>
      <c r="Q7" s="477"/>
      <c r="R7" s="477"/>
      <c r="S7" s="477"/>
    </row>
    <row r="8" spans="1:23" ht="208.2" customHeight="1" x14ac:dyDescent="0.2">
      <c r="A8" s="210" t="s">
        <v>1518</v>
      </c>
      <c r="B8" s="210" t="s">
        <v>208</v>
      </c>
      <c r="C8" s="210" t="s">
        <v>208</v>
      </c>
      <c r="D8" s="210" t="s">
        <v>208</v>
      </c>
      <c r="E8" s="217" t="s">
        <v>208</v>
      </c>
      <c r="F8" s="254">
        <v>4</v>
      </c>
      <c r="G8" s="478"/>
      <c r="H8" s="256">
        <v>4</v>
      </c>
      <c r="I8" s="219" t="s">
        <v>1519</v>
      </c>
      <c r="J8" s="346" t="s">
        <v>183</v>
      </c>
      <c r="K8" s="216" t="s">
        <v>1520</v>
      </c>
      <c r="L8" s="451"/>
      <c r="M8" s="311" t="str">
        <f>IFERROR(IF(O8="Maturity",HLOOKUP(N8,$P$2:$T$200,ROW()-1,0),"N/A"),"")</f>
        <v>N/A</v>
      </c>
      <c r="N8" s="311" t="s">
        <v>213</v>
      </c>
      <c r="O8" s="481" t="s">
        <v>214</v>
      </c>
      <c r="P8" s="481" t="s">
        <v>214</v>
      </c>
      <c r="Q8" s="481" t="s">
        <v>214</v>
      </c>
      <c r="R8" s="481" t="s">
        <v>214</v>
      </c>
      <c r="S8" s="481" t="s">
        <v>214</v>
      </c>
      <c r="T8" s="276">
        <f>IF(OR(L8="Yes",L8="M3",L8="M4",L8="M5"),3,IF(OR(L8="Partial",L8="M2"),2,IF(L8="N/A",0,1)))</f>
        <v>1</v>
      </c>
      <c r="U8" s="287">
        <f>IF(L8="M4",1,IF(L8="M5",2,0))</f>
        <v>0</v>
      </c>
      <c r="V8" s="287">
        <f t="shared" ref="V8:V9" si="0">T8+U8</f>
        <v>1</v>
      </c>
      <c r="W8" s="287">
        <f>IF(ISBLANK(L8),1,0)</f>
        <v>1</v>
      </c>
    </row>
    <row r="9" spans="1:23" ht="137.75" x14ac:dyDescent="0.2">
      <c r="A9" s="210" t="s">
        <v>1521</v>
      </c>
      <c r="B9" s="210" t="s">
        <v>208</v>
      </c>
      <c r="C9" s="210" t="s">
        <v>208</v>
      </c>
      <c r="D9" s="210" t="s">
        <v>208</v>
      </c>
      <c r="E9" s="217" t="s">
        <v>208</v>
      </c>
      <c r="F9" s="254">
        <v>5.0999999999999996</v>
      </c>
      <c r="G9" s="478"/>
      <c r="H9" s="256">
        <v>5.0999999999999996</v>
      </c>
      <c r="I9" s="219" t="s">
        <v>1522</v>
      </c>
      <c r="J9" s="346" t="s">
        <v>182</v>
      </c>
      <c r="K9" s="219" t="s">
        <v>1523</v>
      </c>
      <c r="L9" s="451"/>
      <c r="M9" s="311" t="str">
        <f>IFERROR(IF(O9="Maturity",HLOOKUP(N9,$P$2:$T$200,ROW()-1,0),"N/A"),"")</f>
        <v>N/A</v>
      </c>
      <c r="N9" s="311" t="s">
        <v>213</v>
      </c>
      <c r="O9" s="481" t="s">
        <v>214</v>
      </c>
      <c r="P9" s="481" t="s">
        <v>214</v>
      </c>
      <c r="Q9" s="481" t="s">
        <v>214</v>
      </c>
      <c r="R9" s="481" t="s">
        <v>214</v>
      </c>
      <c r="S9" s="481" t="s">
        <v>214</v>
      </c>
      <c r="T9" s="276">
        <f>IF(OR(L9="Yes",L9="M3",L9="M4",L9="M5"),3,IF(OR(L9="Partial",L9="M2"),2,IF(L9="N/A",0,1)))</f>
        <v>1</v>
      </c>
      <c r="U9" s="287">
        <f>IF(L9="M4",1,IF(L9="M5",2,0))</f>
        <v>0</v>
      </c>
      <c r="V9" s="287">
        <f t="shared" si="0"/>
        <v>1</v>
      </c>
      <c r="W9" s="287">
        <f t="shared" ref="W9" si="1">IF(ISBLANK(L9),1,0)</f>
        <v>1</v>
      </c>
    </row>
    <row r="10" spans="1:23" ht="75.150000000000006" x14ac:dyDescent="0.2">
      <c r="A10" s="210" t="s">
        <v>1524</v>
      </c>
      <c r="B10" s="210" t="s">
        <v>208</v>
      </c>
      <c r="C10" s="210" t="s">
        <v>208</v>
      </c>
      <c r="D10" s="210" t="s">
        <v>208</v>
      </c>
      <c r="E10" s="217" t="s">
        <v>208</v>
      </c>
      <c r="F10" s="254">
        <v>5.2</v>
      </c>
      <c r="G10" s="478"/>
      <c r="H10" s="256">
        <v>5.2</v>
      </c>
      <c r="I10" s="219" t="s">
        <v>1525</v>
      </c>
      <c r="J10" s="219"/>
      <c r="K10" s="477"/>
      <c r="L10" s="474" t="s">
        <v>214</v>
      </c>
      <c r="M10" s="482"/>
      <c r="N10" s="482"/>
      <c r="O10" s="483"/>
      <c r="P10" s="483"/>
      <c r="Q10" s="483"/>
      <c r="R10" s="483"/>
      <c r="S10" s="483"/>
    </row>
    <row r="11" spans="1:23" ht="25.05" x14ac:dyDescent="0.2">
      <c r="A11" s="210" t="s">
        <v>1526</v>
      </c>
      <c r="B11" s="210" t="s">
        <v>208</v>
      </c>
      <c r="C11" s="210" t="s">
        <v>208</v>
      </c>
      <c r="D11" s="210" t="s">
        <v>208</v>
      </c>
      <c r="E11" s="217" t="s">
        <v>208</v>
      </c>
      <c r="F11" s="254">
        <v>5.3</v>
      </c>
      <c r="G11" s="478"/>
      <c r="H11" s="256">
        <v>5.3</v>
      </c>
      <c r="I11" s="219" t="s">
        <v>1527</v>
      </c>
      <c r="J11" s="219"/>
      <c r="K11" s="477"/>
      <c r="L11" s="474" t="s">
        <v>214</v>
      </c>
      <c r="M11" s="482"/>
      <c r="N11" s="482"/>
      <c r="O11" s="483"/>
      <c r="P11" s="483"/>
      <c r="Q11" s="483"/>
      <c r="R11" s="483"/>
      <c r="S11" s="483"/>
    </row>
    <row r="12" spans="1:23" x14ac:dyDescent="0.2">
      <c r="W12" s="287">
        <f>SUM(W8:W9)</f>
        <v>2</v>
      </c>
    </row>
    <row r="13" spans="1:23" x14ac:dyDescent="0.2">
      <c r="L13" s="271" t="s">
        <v>364</v>
      </c>
      <c r="M13" s="272" t="str">
        <f>IF(W12&gt;0,"โปรดระวัง ท่านยังไม่ได้บันทึกผลการประเมินในข้อดังนี้","ตอบแบบประเมินครบถ้วน")</f>
        <v>โปรดระวัง ท่านยังไม่ได้บันทึกผลการประเมินในข้อดังนี้</v>
      </c>
    </row>
    <row r="14" spans="1:23" x14ac:dyDescent="0.2">
      <c r="M14" s="313" t="str">
        <f>IF(ISBLANK(L8),_xlfn.CONCAT(A8," , "),"")&amp; IF(ISBLANK(L9),A9,"")</f>
        <v>D3 #6 , D3 #7</v>
      </c>
    </row>
  </sheetData>
  <sheetProtection selectLockedCells="1"/>
  <conditionalFormatting sqref="M13">
    <cfRule type="containsText" dxfId="1" priority="1" operator="containsText" text="โปรดระวัง ท่านยังไม่ได้บันทึกผลการประเมินในข้อดังนี้">
      <formula>NOT(ISERROR(SEARCH("โปรดระวัง ท่านยังไม่ได้บันทึกผลการประเมินในข้อดังนี้",M13)))</formula>
    </cfRule>
    <cfRule type="containsText" dxfId="0" priority="2" operator="containsText" text="ตอบแบบประเมินครบถ้วน">
      <formula>NOT(ISERROR(SEARCH("ตอบแบบประเมินครบถ้วน",M13)))</formula>
    </cfRule>
  </conditionalFormatting>
  <dataValidations count="3">
    <dataValidation type="list" allowBlank="1" showInputMessage="1" showErrorMessage="1" sqref="L8:M9 L18 L12:M12 L19:L20 L15:L16" xr:uid="{1EC3532E-366E-49A9-BA16-E4390B15FFB3}">
      <formula1>"Yes,Partial,No,N/A"</formula1>
    </dataValidation>
    <dataValidation type="list" allowBlank="1" showInputMessage="1" showErrorMessage="1" sqref="L21 L17 L14" xr:uid="{1EBB8E3E-8A04-4021-91B1-909A154EA0BC}">
      <formula1>"M1,M2,M3,M4,M5,N/A"</formula1>
    </dataValidation>
    <dataValidation type="list" allowBlank="1" showInputMessage="1" showErrorMessage="1" sqref="N3:N11" xr:uid="{AF32B9EF-E772-4C37-80A3-B30AE4B49B29}">
      <formula1>"Yes/Partial/No, Maturity"</formula1>
    </dataValidation>
  </dataValidations>
  <pageMargins left="0.25" right="0.25" top="0.5" bottom="0.5" header="0.3" footer="0.3"/>
  <pageSetup paperSize="9" scale="70" pageOrder="overThenDown" orientation="landscape" horizontalDpi="1200" verticalDpi="1200" r:id="rId1"/>
  <headerFooter>
    <oddHeader>&amp;L&amp;"TH Sarabun New,Regular"&amp;14แนวทางการประเมินสำหรับผู้ประกอบธุรกิจภายใต้หน่วยงานกำกับดูแล (IT Audit Program)&amp;R&amp;"TH Sarabun New,Regular"&amp;14Authorised Restricted Use – Confidential</oddHeader>
    <oddFooter>&amp;L&amp;"TH Sarabun New,Regular"&amp;14หมวด 3 การตรวจสอบด้านเทคโนโลยีสารสนเทศ (Information Technology Audit)&amp;R&amp;"TH Sarabun New,Regular"&amp;14&amp;P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3CDE81-AE3E-4C62-B767-2403D5BC2FCB}">
  <sheetPr codeName="Sheet8">
    <tabColor theme="9" tint="0.39997558519241921"/>
  </sheetPr>
  <dimension ref="A1:Q112"/>
  <sheetViews>
    <sheetView zoomScale="70" zoomScaleNormal="70" workbookViewId="0">
      <selection activeCell="E8" sqref="E8"/>
    </sheetView>
  </sheetViews>
  <sheetFormatPr defaultColWidth="9.19921875" defaultRowHeight="12.55" x14ac:dyDescent="0.2"/>
  <cols>
    <col min="1" max="1" width="8.19921875" style="166" customWidth="1"/>
    <col min="2" max="2" width="16" style="153" customWidth="1"/>
    <col min="3" max="3" width="23.69921875" style="166" customWidth="1"/>
    <col min="4" max="4" width="36.19921875" style="152" customWidth="1"/>
    <col min="5" max="5" width="43.09765625" style="152" customWidth="1"/>
    <col min="6" max="6" width="15.09765625" style="166" customWidth="1"/>
    <col min="7" max="7" width="54.19921875" style="152" customWidth="1"/>
    <col min="8" max="8" width="39.19921875" style="152" bestFit="1" customWidth="1"/>
    <col min="9" max="9" width="30.19921875" style="493" bestFit="1" customWidth="1"/>
    <col min="10" max="10" width="9.19921875" style="152" customWidth="1"/>
    <col min="11" max="15" width="9.19921875" style="152"/>
    <col min="16" max="16" width="6.19921875" style="152" customWidth="1"/>
    <col min="17" max="17" width="3" style="152" customWidth="1"/>
    <col min="18" max="16384" width="9.19921875" style="152"/>
  </cols>
  <sheetData>
    <row r="1" spans="1:17" x14ac:dyDescent="0.2">
      <c r="A1" s="148" t="s">
        <v>1528</v>
      </c>
      <c r="B1" s="149"/>
      <c r="C1" s="150"/>
      <c r="D1" s="148"/>
      <c r="E1" s="148"/>
      <c r="F1" s="148"/>
      <c r="G1" s="148"/>
      <c r="H1" s="148"/>
      <c r="I1" s="148"/>
      <c r="J1" s="148"/>
    </row>
    <row r="2" spans="1:17" ht="11.45" customHeight="1" x14ac:dyDescent="0.2">
      <c r="A2" s="151"/>
      <c r="B2" s="484"/>
      <c r="C2" s="485"/>
      <c r="D2" s="151"/>
      <c r="E2" s="151"/>
      <c r="F2" s="151"/>
      <c r="G2" s="151"/>
      <c r="H2" s="151"/>
      <c r="I2" s="151"/>
      <c r="J2" s="151"/>
    </row>
    <row r="3" spans="1:17" ht="13.15" customHeight="1" x14ac:dyDescent="0.2">
      <c r="B3" s="154"/>
      <c r="C3" s="486"/>
      <c r="D3" s="487" t="s">
        <v>1529</v>
      </c>
      <c r="E3" s="487" t="s">
        <v>1530</v>
      </c>
      <c r="F3" s="488"/>
      <c r="G3" s="488"/>
      <c r="H3" s="488"/>
      <c r="I3" s="489"/>
    </row>
    <row r="4" spans="1:17" x14ac:dyDescent="0.2">
      <c r="B4" s="154"/>
      <c r="C4" s="486"/>
      <c r="D4" s="490" t="s">
        <v>1531</v>
      </c>
      <c r="E4" s="676">
        <f>COUNTIF(F13:F150,"H")</f>
        <v>0</v>
      </c>
      <c r="F4" s="488"/>
      <c r="G4" s="488"/>
      <c r="H4" s="488"/>
      <c r="I4" s="489"/>
    </row>
    <row r="5" spans="1:17" x14ac:dyDescent="0.2">
      <c r="B5" s="154"/>
      <c r="C5" s="486"/>
      <c r="D5" s="490" t="s">
        <v>1532</v>
      </c>
      <c r="E5" s="676">
        <f>COUNTIF(F13:F150,"M")</f>
        <v>0</v>
      </c>
      <c r="F5" s="488"/>
      <c r="G5" s="488"/>
      <c r="H5" s="488"/>
      <c r="I5" s="489"/>
    </row>
    <row r="6" spans="1:17" x14ac:dyDescent="0.2">
      <c r="A6" s="491"/>
      <c r="B6" s="154"/>
      <c r="C6" s="486"/>
      <c r="D6" s="490" t="s">
        <v>1533</v>
      </c>
      <c r="E6" s="676">
        <f>COUNTIF(F13:F150,"L")</f>
        <v>0</v>
      </c>
      <c r="F6" s="488"/>
      <c r="G6" s="488"/>
      <c r="H6" s="488"/>
      <c r="I6" s="489"/>
    </row>
    <row r="7" spans="1:17" ht="21.45" customHeight="1" x14ac:dyDescent="0.2">
      <c r="A7" s="492" t="s">
        <v>1534</v>
      </c>
    </row>
    <row r="8" spans="1:17" ht="21.45" customHeight="1" x14ac:dyDescent="0.25">
      <c r="A8" s="494" t="s">
        <v>1535</v>
      </c>
    </row>
    <row r="9" spans="1:17" ht="21.45" customHeight="1" x14ac:dyDescent="0.2">
      <c r="A9" s="495"/>
    </row>
    <row r="10" spans="1:17" s="111" customFormat="1" ht="50.1" x14ac:dyDescent="0.25">
      <c r="A10" s="496" t="s">
        <v>33</v>
      </c>
      <c r="B10" s="497" t="s">
        <v>1536</v>
      </c>
      <c r="C10" s="497" t="s">
        <v>1537</v>
      </c>
      <c r="D10" s="496" t="s">
        <v>1538</v>
      </c>
      <c r="E10" s="497" t="s">
        <v>1539</v>
      </c>
      <c r="F10" s="497" t="s">
        <v>1540</v>
      </c>
      <c r="G10" s="497" t="s">
        <v>1541</v>
      </c>
      <c r="H10" s="497" t="s">
        <v>1542</v>
      </c>
      <c r="I10" s="498" t="s">
        <v>1543</v>
      </c>
      <c r="K10" s="499"/>
      <c r="L10" s="499"/>
      <c r="M10" s="499"/>
      <c r="N10" s="499"/>
      <c r="O10" s="499"/>
      <c r="P10" s="499"/>
      <c r="Q10" s="499"/>
    </row>
    <row r="11" spans="1:17" s="503" customFormat="1" ht="87.05" customHeight="1" x14ac:dyDescent="0.2">
      <c r="A11" s="500" t="s">
        <v>41</v>
      </c>
      <c r="B11" s="501" t="s">
        <v>1544</v>
      </c>
      <c r="C11" s="500" t="s">
        <v>360</v>
      </c>
      <c r="D11" s="501" t="s">
        <v>1545</v>
      </c>
      <c r="E11" s="501" t="s">
        <v>1546</v>
      </c>
      <c r="F11" s="500" t="s">
        <v>182</v>
      </c>
      <c r="G11" s="501" t="s">
        <v>1547</v>
      </c>
      <c r="H11" s="502">
        <v>46082</v>
      </c>
      <c r="I11" s="135"/>
      <c r="K11" s="504"/>
      <c r="L11" s="504"/>
      <c r="M11" s="504"/>
      <c r="N11" s="504"/>
      <c r="O11" s="504"/>
      <c r="P11" s="504"/>
    </row>
    <row r="12" spans="1:17" s="503" customFormat="1" ht="34.450000000000003" customHeight="1" x14ac:dyDescent="0.2">
      <c r="A12" s="500" t="s">
        <v>41</v>
      </c>
      <c r="B12" s="501" t="s">
        <v>1548</v>
      </c>
      <c r="C12" s="500" t="s">
        <v>1549</v>
      </c>
      <c r="D12" s="501" t="s">
        <v>1550</v>
      </c>
      <c r="E12" s="501" t="s">
        <v>1551</v>
      </c>
      <c r="F12" s="500" t="s">
        <v>183</v>
      </c>
      <c r="G12" s="501" t="s">
        <v>1552</v>
      </c>
      <c r="H12" s="502">
        <v>46357</v>
      </c>
      <c r="I12" s="505"/>
      <c r="K12" s="504"/>
      <c r="L12" s="504"/>
      <c r="M12" s="504"/>
      <c r="N12" s="504"/>
      <c r="O12" s="504"/>
      <c r="P12" s="504"/>
    </row>
    <row r="13" spans="1:17" x14ac:dyDescent="0.2">
      <c r="A13" s="126">
        <v>1</v>
      </c>
      <c r="B13" s="507"/>
      <c r="C13" s="508"/>
      <c r="D13" s="507"/>
      <c r="E13" s="507"/>
      <c r="F13" s="508"/>
      <c r="G13" s="507"/>
      <c r="H13" s="509"/>
      <c r="I13" s="510"/>
      <c r="K13" s="77"/>
      <c r="L13" s="77"/>
      <c r="M13" s="77"/>
      <c r="N13" s="77"/>
      <c r="O13" s="77"/>
      <c r="P13" s="77"/>
      <c r="Q13" s="506"/>
    </row>
    <row r="14" spans="1:17" x14ac:dyDescent="0.2">
      <c r="A14" s="126">
        <v>2</v>
      </c>
      <c r="B14" s="507"/>
      <c r="C14" s="508"/>
      <c r="D14" s="507"/>
      <c r="E14" s="507"/>
      <c r="F14" s="508"/>
      <c r="G14" s="507"/>
      <c r="H14" s="509"/>
      <c r="I14" s="510"/>
      <c r="K14" s="77"/>
      <c r="L14" s="77"/>
      <c r="M14" s="77"/>
      <c r="N14" s="77"/>
      <c r="O14" s="77"/>
      <c r="P14" s="77"/>
      <c r="Q14" s="506"/>
    </row>
    <row r="15" spans="1:17" x14ac:dyDescent="0.2">
      <c r="A15" s="126">
        <v>3</v>
      </c>
      <c r="B15" s="507"/>
      <c r="C15" s="508"/>
      <c r="D15" s="507"/>
      <c r="E15" s="507"/>
      <c r="F15" s="508"/>
      <c r="G15" s="507"/>
      <c r="H15" s="509"/>
      <c r="I15" s="510"/>
      <c r="K15" s="77"/>
      <c r="L15" s="77"/>
      <c r="M15" s="77"/>
      <c r="N15" s="77"/>
      <c r="O15" s="77"/>
      <c r="P15" s="77"/>
      <c r="Q15" s="506"/>
    </row>
    <row r="16" spans="1:17" x14ac:dyDescent="0.2">
      <c r="A16" s="126">
        <v>4</v>
      </c>
      <c r="B16" s="507"/>
      <c r="C16" s="508"/>
      <c r="D16" s="507"/>
      <c r="E16" s="507"/>
      <c r="F16" s="508"/>
      <c r="G16" s="507"/>
      <c r="H16" s="509"/>
      <c r="I16" s="510"/>
      <c r="K16" s="77"/>
      <c r="L16" s="77"/>
      <c r="M16" s="77"/>
      <c r="N16" s="77"/>
      <c r="O16" s="77"/>
      <c r="P16" s="77"/>
      <c r="Q16" s="506"/>
    </row>
    <row r="17" spans="1:17" x14ac:dyDescent="0.2">
      <c r="A17" s="126">
        <v>5</v>
      </c>
      <c r="B17" s="507"/>
      <c r="C17" s="508"/>
      <c r="D17" s="507"/>
      <c r="E17" s="507"/>
      <c r="F17" s="508"/>
      <c r="G17" s="507"/>
      <c r="H17" s="509"/>
      <c r="I17" s="510"/>
      <c r="K17" s="77"/>
      <c r="L17" s="77"/>
      <c r="M17" s="77"/>
      <c r="N17" s="77"/>
      <c r="O17" s="77"/>
      <c r="P17" s="77"/>
      <c r="Q17" s="506"/>
    </row>
    <row r="18" spans="1:17" x14ac:dyDescent="0.2">
      <c r="A18" s="126">
        <v>6</v>
      </c>
      <c r="B18" s="507"/>
      <c r="C18" s="508"/>
      <c r="D18" s="507"/>
      <c r="E18" s="507"/>
      <c r="F18" s="508"/>
      <c r="G18" s="507"/>
      <c r="H18" s="509"/>
      <c r="I18" s="510"/>
      <c r="K18" s="77"/>
      <c r="L18" s="77"/>
      <c r="M18" s="77"/>
      <c r="N18" s="77"/>
      <c r="O18" s="77"/>
      <c r="P18" s="77"/>
      <c r="Q18" s="506"/>
    </row>
    <row r="19" spans="1:17" x14ac:dyDescent="0.2">
      <c r="A19" s="126">
        <v>7</v>
      </c>
      <c r="B19" s="507"/>
      <c r="C19" s="508"/>
      <c r="D19" s="507"/>
      <c r="E19" s="507"/>
      <c r="F19" s="508"/>
      <c r="G19" s="507"/>
      <c r="H19" s="509"/>
      <c r="I19" s="510"/>
      <c r="K19" s="77"/>
      <c r="L19" s="77"/>
      <c r="M19" s="77"/>
      <c r="N19" s="77"/>
      <c r="O19" s="77"/>
      <c r="P19" s="77"/>
      <c r="Q19" s="506"/>
    </row>
    <row r="20" spans="1:17" x14ac:dyDescent="0.2">
      <c r="A20" s="126">
        <v>8</v>
      </c>
      <c r="B20" s="507"/>
      <c r="C20" s="508"/>
      <c r="D20" s="507"/>
      <c r="E20" s="507"/>
      <c r="F20" s="508"/>
      <c r="G20" s="507"/>
      <c r="H20" s="509"/>
      <c r="I20" s="510"/>
      <c r="K20" s="77"/>
      <c r="L20" s="77"/>
      <c r="M20" s="77"/>
      <c r="N20" s="77"/>
      <c r="O20" s="77"/>
      <c r="P20" s="77"/>
      <c r="Q20" s="506"/>
    </row>
    <row r="21" spans="1:17" x14ac:dyDescent="0.2">
      <c r="A21" s="126">
        <v>9</v>
      </c>
      <c r="B21" s="507"/>
      <c r="C21" s="508"/>
      <c r="D21" s="507"/>
      <c r="E21" s="507"/>
      <c r="F21" s="508"/>
      <c r="G21" s="507"/>
      <c r="H21" s="509"/>
      <c r="I21" s="510"/>
      <c r="K21" s="77"/>
      <c r="L21" s="77"/>
      <c r="M21" s="77"/>
      <c r="N21" s="77"/>
      <c r="O21" s="77"/>
      <c r="P21" s="77"/>
      <c r="Q21" s="506"/>
    </row>
    <row r="22" spans="1:17" x14ac:dyDescent="0.2">
      <c r="A22" s="126">
        <v>10</v>
      </c>
      <c r="B22" s="507"/>
      <c r="C22" s="508"/>
      <c r="D22" s="507"/>
      <c r="E22" s="507"/>
      <c r="F22" s="508"/>
      <c r="G22" s="507"/>
      <c r="H22" s="509"/>
      <c r="I22" s="510"/>
      <c r="K22" s="77"/>
      <c r="L22" s="77"/>
      <c r="M22" s="77"/>
      <c r="N22" s="77"/>
      <c r="O22" s="77"/>
      <c r="P22" s="77"/>
      <c r="Q22" s="506"/>
    </row>
    <row r="23" spans="1:17" x14ac:dyDescent="0.2">
      <c r="A23" s="126">
        <v>11</v>
      </c>
      <c r="B23" s="507"/>
      <c r="C23" s="508"/>
      <c r="D23" s="507"/>
      <c r="E23" s="507"/>
      <c r="F23" s="508"/>
      <c r="G23" s="507"/>
      <c r="H23" s="509"/>
      <c r="I23" s="510"/>
      <c r="K23" s="77"/>
      <c r="L23" s="77"/>
      <c r="M23" s="77"/>
      <c r="N23" s="77"/>
      <c r="O23" s="77"/>
      <c r="P23" s="77"/>
      <c r="Q23" s="506"/>
    </row>
    <row r="24" spans="1:17" x14ac:dyDescent="0.2">
      <c r="A24" s="126">
        <v>12</v>
      </c>
      <c r="B24" s="507"/>
      <c r="C24" s="508"/>
      <c r="D24" s="507"/>
      <c r="E24" s="507"/>
      <c r="F24" s="508"/>
      <c r="G24" s="507"/>
      <c r="H24" s="509"/>
      <c r="I24" s="510"/>
      <c r="K24" s="77"/>
      <c r="L24" s="77"/>
      <c r="M24" s="77"/>
      <c r="N24" s="77"/>
      <c r="O24" s="77"/>
      <c r="P24" s="77"/>
      <c r="Q24" s="506"/>
    </row>
    <row r="25" spans="1:17" x14ac:dyDescent="0.2">
      <c r="A25" s="126">
        <v>13</v>
      </c>
      <c r="B25" s="507"/>
      <c r="C25" s="508"/>
      <c r="D25" s="507"/>
      <c r="E25" s="507"/>
      <c r="F25" s="508"/>
      <c r="G25" s="507"/>
      <c r="H25" s="509"/>
      <c r="I25" s="510"/>
      <c r="K25" s="77"/>
      <c r="L25" s="77"/>
      <c r="M25" s="77"/>
      <c r="N25" s="77"/>
      <c r="O25" s="77"/>
      <c r="P25" s="77"/>
      <c r="Q25" s="506"/>
    </row>
    <row r="26" spans="1:17" x14ac:dyDescent="0.2">
      <c r="A26" s="126">
        <v>14</v>
      </c>
      <c r="B26" s="507"/>
      <c r="C26" s="508"/>
      <c r="D26" s="507"/>
      <c r="E26" s="507"/>
      <c r="F26" s="508"/>
      <c r="G26" s="507"/>
      <c r="H26" s="509"/>
      <c r="I26" s="510"/>
      <c r="K26" s="77"/>
      <c r="L26" s="77"/>
      <c r="M26" s="77"/>
      <c r="N26" s="77"/>
      <c r="O26" s="77"/>
      <c r="P26" s="77"/>
      <c r="Q26" s="506"/>
    </row>
    <row r="27" spans="1:17" x14ac:dyDescent="0.2">
      <c r="A27" s="126">
        <v>15</v>
      </c>
      <c r="B27" s="507"/>
      <c r="C27" s="508"/>
      <c r="D27" s="507"/>
      <c r="E27" s="507"/>
      <c r="F27" s="508"/>
      <c r="G27" s="507"/>
      <c r="H27" s="509"/>
      <c r="I27" s="510"/>
      <c r="K27" s="77"/>
      <c r="L27" s="77"/>
      <c r="M27" s="77"/>
      <c r="N27" s="77"/>
      <c r="O27" s="77"/>
      <c r="P27" s="77"/>
      <c r="Q27" s="506"/>
    </row>
    <row r="28" spans="1:17" x14ac:dyDescent="0.2">
      <c r="A28" s="126">
        <v>16</v>
      </c>
      <c r="B28" s="507"/>
      <c r="C28" s="508"/>
      <c r="D28" s="507"/>
      <c r="E28" s="507"/>
      <c r="F28" s="508"/>
      <c r="G28" s="507"/>
      <c r="H28" s="509"/>
      <c r="I28" s="510"/>
      <c r="K28" s="77"/>
      <c r="L28" s="77"/>
      <c r="M28" s="77"/>
      <c r="N28" s="77"/>
      <c r="O28" s="77"/>
      <c r="P28" s="77"/>
      <c r="Q28" s="506"/>
    </row>
    <row r="29" spans="1:17" x14ac:dyDescent="0.2">
      <c r="A29" s="126">
        <v>17</v>
      </c>
      <c r="B29" s="507"/>
      <c r="C29" s="508"/>
      <c r="D29" s="507"/>
      <c r="E29" s="507"/>
      <c r="F29" s="508"/>
      <c r="G29" s="507"/>
      <c r="H29" s="509"/>
      <c r="I29" s="510"/>
      <c r="K29" s="488"/>
      <c r="L29" s="488"/>
      <c r="M29" s="488"/>
      <c r="N29" s="488"/>
      <c r="O29" s="488"/>
      <c r="P29" s="488"/>
      <c r="Q29" s="506"/>
    </row>
    <row r="30" spans="1:17" x14ac:dyDescent="0.2">
      <c r="A30" s="126">
        <v>18</v>
      </c>
      <c r="B30" s="507"/>
      <c r="C30" s="508"/>
      <c r="D30" s="507"/>
      <c r="E30" s="507"/>
      <c r="F30" s="508"/>
      <c r="G30" s="507"/>
      <c r="H30" s="509"/>
      <c r="I30" s="510"/>
      <c r="K30" s="488"/>
      <c r="L30" s="488"/>
      <c r="M30" s="488"/>
      <c r="N30" s="488"/>
      <c r="O30" s="488"/>
      <c r="P30" s="488"/>
      <c r="Q30" s="506"/>
    </row>
    <row r="31" spans="1:17" x14ac:dyDescent="0.2">
      <c r="A31" s="126">
        <v>19</v>
      </c>
      <c r="B31" s="507"/>
      <c r="C31" s="508"/>
      <c r="D31" s="507"/>
      <c r="E31" s="507"/>
      <c r="F31" s="508"/>
      <c r="G31" s="507"/>
      <c r="H31" s="509"/>
      <c r="I31" s="510"/>
      <c r="K31" s="488"/>
      <c r="L31" s="488"/>
      <c r="M31" s="488"/>
      <c r="N31" s="488"/>
      <c r="O31" s="488"/>
      <c r="P31" s="488"/>
      <c r="Q31" s="506"/>
    </row>
    <row r="32" spans="1:17" x14ac:dyDescent="0.2">
      <c r="A32" s="126">
        <v>20</v>
      </c>
      <c r="B32" s="507"/>
      <c r="C32" s="508"/>
      <c r="D32" s="507"/>
      <c r="E32" s="507"/>
      <c r="F32" s="508"/>
      <c r="G32" s="507"/>
      <c r="H32" s="509"/>
      <c r="I32" s="510"/>
      <c r="K32" s="488"/>
      <c r="L32" s="488"/>
      <c r="M32" s="488"/>
      <c r="N32" s="488"/>
      <c r="O32" s="488"/>
      <c r="P32" s="488"/>
      <c r="Q32" s="506"/>
    </row>
    <row r="33" spans="1:17" x14ac:dyDescent="0.2">
      <c r="A33" s="126">
        <v>21</v>
      </c>
      <c r="B33" s="507"/>
      <c r="C33" s="508"/>
      <c r="D33" s="507"/>
      <c r="E33" s="507"/>
      <c r="F33" s="508"/>
      <c r="G33" s="507"/>
      <c r="H33" s="509"/>
      <c r="I33" s="510"/>
      <c r="K33" s="506"/>
      <c r="L33" s="506"/>
      <c r="M33" s="506"/>
      <c r="N33" s="506"/>
      <c r="O33" s="506"/>
      <c r="P33" s="506"/>
      <c r="Q33" s="506"/>
    </row>
    <row r="34" spans="1:17" x14ac:dyDescent="0.2">
      <c r="A34" s="126">
        <v>22</v>
      </c>
      <c r="B34" s="507"/>
      <c r="C34" s="508"/>
      <c r="D34" s="507"/>
      <c r="E34" s="507"/>
      <c r="F34" s="508"/>
      <c r="G34" s="507"/>
      <c r="H34" s="509"/>
      <c r="I34" s="510"/>
    </row>
    <row r="35" spans="1:17" x14ac:dyDescent="0.2">
      <c r="A35" s="126">
        <v>23</v>
      </c>
      <c r="B35" s="507"/>
      <c r="C35" s="508"/>
      <c r="D35" s="507"/>
      <c r="E35" s="507"/>
      <c r="F35" s="508"/>
      <c r="G35" s="507"/>
      <c r="H35" s="511"/>
      <c r="I35" s="127"/>
    </row>
    <row r="36" spans="1:17" x14ac:dyDescent="0.2">
      <c r="A36" s="126">
        <v>24</v>
      </c>
      <c r="B36" s="507"/>
      <c r="C36" s="508"/>
      <c r="D36" s="507"/>
      <c r="E36" s="507"/>
      <c r="F36" s="508"/>
      <c r="G36" s="507"/>
      <c r="H36" s="511"/>
      <c r="I36" s="127"/>
    </row>
    <row r="37" spans="1:17" x14ac:dyDescent="0.2">
      <c r="A37" s="126">
        <v>25</v>
      </c>
      <c r="B37" s="507"/>
      <c r="C37" s="508"/>
      <c r="D37" s="507"/>
      <c r="E37" s="507"/>
      <c r="F37" s="508"/>
      <c r="G37" s="507"/>
      <c r="H37" s="511"/>
      <c r="I37" s="127"/>
    </row>
    <row r="38" spans="1:17" x14ac:dyDescent="0.2">
      <c r="A38" s="126">
        <v>26</v>
      </c>
      <c r="B38" s="507"/>
      <c r="C38" s="508"/>
      <c r="D38" s="507"/>
      <c r="E38" s="507"/>
      <c r="F38" s="508"/>
      <c r="G38" s="507"/>
      <c r="H38" s="511"/>
      <c r="I38" s="127"/>
    </row>
    <row r="39" spans="1:17" ht="16.149999999999999" customHeight="1" x14ac:dyDescent="0.2">
      <c r="A39" s="126">
        <v>27</v>
      </c>
      <c r="B39" s="507"/>
      <c r="C39" s="508"/>
      <c r="D39" s="507"/>
      <c r="E39" s="507"/>
      <c r="F39" s="508"/>
      <c r="G39" s="507"/>
      <c r="H39" s="511"/>
      <c r="I39" s="127"/>
    </row>
    <row r="40" spans="1:17" x14ac:dyDescent="0.2">
      <c r="A40" s="126">
        <v>28</v>
      </c>
      <c r="B40" s="507"/>
      <c r="C40" s="508"/>
      <c r="D40" s="507"/>
      <c r="E40" s="507"/>
      <c r="F40" s="508"/>
      <c r="G40" s="507"/>
      <c r="H40" s="511"/>
      <c r="I40" s="127"/>
    </row>
    <row r="41" spans="1:17" x14ac:dyDescent="0.2">
      <c r="A41" s="126">
        <v>29</v>
      </c>
      <c r="B41" s="507"/>
      <c r="C41" s="508"/>
      <c r="D41" s="507"/>
      <c r="E41" s="507"/>
      <c r="F41" s="508"/>
      <c r="G41" s="507"/>
      <c r="H41" s="511"/>
      <c r="I41" s="127"/>
    </row>
    <row r="42" spans="1:17" x14ac:dyDescent="0.2">
      <c r="A42" s="126">
        <v>30</v>
      </c>
      <c r="B42" s="507"/>
      <c r="C42" s="508"/>
      <c r="D42" s="507"/>
      <c r="E42" s="507"/>
      <c r="F42" s="508"/>
      <c r="G42" s="507"/>
      <c r="H42" s="511"/>
      <c r="I42" s="127"/>
    </row>
    <row r="43" spans="1:17" x14ac:dyDescent="0.2">
      <c r="A43" s="126">
        <v>31</v>
      </c>
      <c r="B43" s="507"/>
      <c r="C43" s="508"/>
      <c r="D43" s="507"/>
      <c r="E43" s="507"/>
      <c r="F43" s="508"/>
      <c r="G43" s="507"/>
      <c r="H43" s="509"/>
      <c r="I43" s="510"/>
    </row>
    <row r="44" spans="1:17" x14ac:dyDescent="0.2">
      <c r="A44" s="126">
        <v>32</v>
      </c>
      <c r="B44" s="507"/>
      <c r="C44" s="508"/>
      <c r="D44" s="507"/>
      <c r="E44" s="507"/>
      <c r="F44" s="508"/>
      <c r="G44" s="507"/>
      <c r="H44" s="509"/>
      <c r="I44" s="510"/>
    </row>
    <row r="45" spans="1:17" x14ac:dyDescent="0.2">
      <c r="A45" s="126">
        <v>33</v>
      </c>
      <c r="B45" s="507"/>
      <c r="C45" s="508"/>
      <c r="D45" s="507"/>
      <c r="E45" s="507"/>
      <c r="F45" s="508"/>
      <c r="G45" s="507"/>
      <c r="H45" s="509"/>
      <c r="I45" s="510"/>
    </row>
    <row r="46" spans="1:17" x14ac:dyDescent="0.2">
      <c r="A46" s="126">
        <v>34</v>
      </c>
      <c r="B46" s="507"/>
      <c r="C46" s="508"/>
      <c r="D46" s="507"/>
      <c r="E46" s="507"/>
      <c r="F46" s="508"/>
      <c r="G46" s="507"/>
      <c r="H46" s="511"/>
      <c r="I46" s="127"/>
    </row>
    <row r="47" spans="1:17" x14ac:dyDescent="0.2">
      <c r="A47" s="126">
        <v>35</v>
      </c>
      <c r="B47" s="507"/>
      <c r="C47" s="508"/>
      <c r="D47" s="507"/>
      <c r="E47" s="507"/>
      <c r="F47" s="508"/>
      <c r="G47" s="507"/>
      <c r="H47" s="511"/>
      <c r="I47" s="127"/>
    </row>
    <row r="48" spans="1:17" x14ac:dyDescent="0.2">
      <c r="A48" s="126">
        <v>36</v>
      </c>
      <c r="B48" s="507"/>
      <c r="C48" s="508"/>
      <c r="D48" s="507"/>
      <c r="E48" s="507"/>
      <c r="F48" s="508"/>
      <c r="G48" s="507"/>
      <c r="H48" s="511"/>
      <c r="I48" s="127"/>
    </row>
    <row r="49" spans="1:9" x14ac:dyDescent="0.2">
      <c r="A49" s="126">
        <v>37</v>
      </c>
      <c r="B49" s="507"/>
      <c r="C49" s="508"/>
      <c r="D49" s="507"/>
      <c r="E49" s="507"/>
      <c r="F49" s="508"/>
      <c r="G49" s="507"/>
      <c r="H49" s="511"/>
      <c r="I49" s="127"/>
    </row>
    <row r="50" spans="1:9" x14ac:dyDescent="0.2">
      <c r="A50" s="126">
        <v>38</v>
      </c>
      <c r="B50" s="507"/>
      <c r="C50" s="508"/>
      <c r="D50" s="507"/>
      <c r="E50" s="507"/>
      <c r="F50" s="508"/>
      <c r="G50" s="507"/>
      <c r="H50" s="511"/>
      <c r="I50" s="127"/>
    </row>
    <row r="51" spans="1:9" x14ac:dyDescent="0.2">
      <c r="A51" s="126">
        <v>39</v>
      </c>
      <c r="B51" s="507"/>
      <c r="C51" s="508"/>
      <c r="D51" s="507"/>
      <c r="E51" s="507"/>
      <c r="F51" s="508"/>
      <c r="G51" s="507"/>
      <c r="H51" s="511"/>
      <c r="I51" s="127"/>
    </row>
    <row r="52" spans="1:9" x14ac:dyDescent="0.2">
      <c r="A52" s="126">
        <v>40</v>
      </c>
      <c r="B52" s="507"/>
      <c r="C52" s="508"/>
      <c r="D52" s="507"/>
      <c r="E52" s="507"/>
      <c r="F52" s="508"/>
      <c r="G52" s="507"/>
      <c r="H52" s="511"/>
      <c r="I52" s="127"/>
    </row>
    <row r="53" spans="1:9" x14ac:dyDescent="0.2">
      <c r="A53" s="126">
        <v>41</v>
      </c>
      <c r="B53" s="507"/>
      <c r="C53" s="508"/>
      <c r="D53" s="507"/>
      <c r="E53" s="507"/>
      <c r="F53" s="508"/>
      <c r="G53" s="507"/>
      <c r="H53" s="511"/>
      <c r="I53" s="127"/>
    </row>
    <row r="54" spans="1:9" x14ac:dyDescent="0.2">
      <c r="A54" s="126">
        <v>42</v>
      </c>
      <c r="B54" s="507"/>
      <c r="C54" s="508"/>
      <c r="D54" s="507"/>
      <c r="E54" s="507"/>
      <c r="F54" s="508"/>
      <c r="G54" s="507"/>
      <c r="H54" s="509"/>
      <c r="I54" s="510"/>
    </row>
    <row r="55" spans="1:9" x14ac:dyDescent="0.2">
      <c r="A55" s="126">
        <v>43</v>
      </c>
      <c r="B55" s="507"/>
      <c r="C55" s="508"/>
      <c r="D55" s="507"/>
      <c r="E55" s="507"/>
      <c r="F55" s="508"/>
      <c r="G55" s="507"/>
      <c r="H55" s="509"/>
      <c r="I55" s="510"/>
    </row>
    <row r="56" spans="1:9" x14ac:dyDescent="0.2">
      <c r="A56" s="126">
        <v>44</v>
      </c>
      <c r="B56" s="507"/>
      <c r="C56" s="508"/>
      <c r="D56" s="507"/>
      <c r="E56" s="507"/>
      <c r="F56" s="508"/>
      <c r="G56" s="507"/>
      <c r="H56" s="509"/>
      <c r="I56" s="510"/>
    </row>
    <row r="57" spans="1:9" x14ac:dyDescent="0.2">
      <c r="A57" s="126">
        <v>45</v>
      </c>
      <c r="B57" s="507"/>
      <c r="C57" s="508"/>
      <c r="D57" s="507"/>
      <c r="E57" s="507"/>
      <c r="F57" s="508"/>
      <c r="G57" s="507"/>
      <c r="H57" s="511"/>
      <c r="I57" s="127"/>
    </row>
    <row r="58" spans="1:9" x14ac:dyDescent="0.2">
      <c r="A58" s="126">
        <v>46</v>
      </c>
      <c r="B58" s="507"/>
      <c r="C58" s="508"/>
      <c r="D58" s="507"/>
      <c r="E58" s="507"/>
      <c r="F58" s="508"/>
      <c r="G58" s="507"/>
      <c r="H58" s="511"/>
      <c r="I58" s="127"/>
    </row>
    <row r="59" spans="1:9" x14ac:dyDescent="0.2">
      <c r="A59" s="126">
        <v>47</v>
      </c>
      <c r="B59" s="507"/>
      <c r="C59" s="508"/>
      <c r="D59" s="507"/>
      <c r="E59" s="507"/>
      <c r="F59" s="508"/>
      <c r="G59" s="507"/>
      <c r="H59" s="511"/>
      <c r="I59" s="127"/>
    </row>
    <row r="60" spans="1:9" x14ac:dyDescent="0.2">
      <c r="A60" s="126">
        <v>48</v>
      </c>
      <c r="B60" s="507"/>
      <c r="C60" s="508"/>
      <c r="D60" s="507"/>
      <c r="E60" s="507"/>
      <c r="F60" s="508"/>
      <c r="G60" s="507"/>
      <c r="H60" s="511"/>
      <c r="I60" s="127"/>
    </row>
    <row r="61" spans="1:9" x14ac:dyDescent="0.2">
      <c r="A61" s="126">
        <v>49</v>
      </c>
      <c r="B61" s="507"/>
      <c r="C61" s="508"/>
      <c r="D61" s="507"/>
      <c r="E61" s="507"/>
      <c r="F61" s="508"/>
      <c r="G61" s="507"/>
      <c r="H61" s="511"/>
      <c r="I61" s="127"/>
    </row>
    <row r="62" spans="1:9" x14ac:dyDescent="0.2">
      <c r="A62" s="126">
        <v>50</v>
      </c>
      <c r="B62" s="507"/>
      <c r="C62" s="508"/>
      <c r="D62" s="507"/>
      <c r="E62" s="507"/>
      <c r="F62" s="508"/>
      <c r="G62" s="507"/>
      <c r="H62" s="511"/>
      <c r="I62" s="127"/>
    </row>
    <row r="63" spans="1:9" x14ac:dyDescent="0.2">
      <c r="A63" s="126">
        <v>51</v>
      </c>
      <c r="B63" s="507"/>
      <c r="C63" s="508"/>
      <c r="D63" s="507"/>
      <c r="E63" s="507"/>
      <c r="F63" s="508"/>
      <c r="G63" s="507"/>
      <c r="H63" s="511"/>
      <c r="I63" s="127"/>
    </row>
    <row r="64" spans="1:9" x14ac:dyDescent="0.2">
      <c r="A64" s="126">
        <v>52</v>
      </c>
      <c r="B64" s="507"/>
      <c r="C64" s="508"/>
      <c r="D64" s="507"/>
      <c r="E64" s="507"/>
      <c r="F64" s="508"/>
      <c r="G64" s="507"/>
      <c r="H64" s="509"/>
      <c r="I64" s="510"/>
    </row>
    <row r="65" spans="1:9" x14ac:dyDescent="0.2">
      <c r="A65" s="126">
        <v>53</v>
      </c>
      <c r="B65" s="507"/>
      <c r="C65" s="508"/>
      <c r="D65" s="507"/>
      <c r="E65" s="507"/>
      <c r="F65" s="508"/>
      <c r="G65" s="507"/>
      <c r="H65" s="509"/>
      <c r="I65" s="510"/>
    </row>
    <row r="66" spans="1:9" x14ac:dyDescent="0.2">
      <c r="A66" s="126">
        <v>54</v>
      </c>
      <c r="B66" s="507"/>
      <c r="C66" s="508"/>
      <c r="D66" s="507"/>
      <c r="E66" s="507"/>
      <c r="F66" s="508"/>
      <c r="G66" s="507"/>
      <c r="H66" s="509"/>
      <c r="I66" s="510"/>
    </row>
    <row r="67" spans="1:9" x14ac:dyDescent="0.2">
      <c r="A67" s="126">
        <v>55</v>
      </c>
      <c r="B67" s="507"/>
      <c r="C67" s="508"/>
      <c r="D67" s="507"/>
      <c r="E67" s="507"/>
      <c r="F67" s="508"/>
      <c r="G67" s="507"/>
      <c r="H67" s="511"/>
      <c r="I67" s="127"/>
    </row>
    <row r="68" spans="1:9" x14ac:dyDescent="0.2">
      <c r="A68" s="126">
        <v>56</v>
      </c>
      <c r="B68" s="507"/>
      <c r="C68" s="508"/>
      <c r="D68" s="507"/>
      <c r="E68" s="507"/>
      <c r="F68" s="508"/>
      <c r="G68" s="507"/>
      <c r="H68" s="511"/>
      <c r="I68" s="127"/>
    </row>
    <row r="69" spans="1:9" x14ac:dyDescent="0.2">
      <c r="A69" s="126">
        <v>57</v>
      </c>
      <c r="B69" s="507"/>
      <c r="C69" s="508"/>
      <c r="D69" s="507"/>
      <c r="E69" s="507"/>
      <c r="F69" s="508"/>
      <c r="G69" s="507"/>
      <c r="H69" s="511"/>
      <c r="I69" s="127"/>
    </row>
    <row r="70" spans="1:9" x14ac:dyDescent="0.2">
      <c r="A70" s="126">
        <v>58</v>
      </c>
      <c r="B70" s="507"/>
      <c r="C70" s="508"/>
      <c r="D70" s="507"/>
      <c r="E70" s="507"/>
      <c r="F70" s="508"/>
      <c r="G70" s="507"/>
      <c r="H70" s="511"/>
      <c r="I70" s="127"/>
    </row>
    <row r="71" spans="1:9" x14ac:dyDescent="0.2">
      <c r="A71" s="126">
        <v>59</v>
      </c>
      <c r="B71" s="507"/>
      <c r="C71" s="508"/>
      <c r="D71" s="507"/>
      <c r="E71" s="507"/>
      <c r="F71" s="508"/>
      <c r="G71" s="507"/>
      <c r="H71" s="511"/>
      <c r="I71" s="127"/>
    </row>
    <row r="72" spans="1:9" x14ac:dyDescent="0.2">
      <c r="A72" s="126">
        <v>60</v>
      </c>
      <c r="B72" s="507"/>
      <c r="C72" s="508"/>
      <c r="D72" s="507"/>
      <c r="E72" s="507"/>
      <c r="F72" s="508"/>
      <c r="G72" s="507"/>
      <c r="H72" s="511"/>
      <c r="I72" s="127"/>
    </row>
    <row r="73" spans="1:9" x14ac:dyDescent="0.2">
      <c r="A73" s="126">
        <v>61</v>
      </c>
      <c r="B73" s="507"/>
      <c r="C73" s="508"/>
      <c r="D73" s="507"/>
      <c r="E73" s="507"/>
      <c r="F73" s="508"/>
      <c r="G73" s="507"/>
      <c r="H73" s="511"/>
      <c r="I73" s="127"/>
    </row>
    <row r="74" spans="1:9" x14ac:dyDescent="0.2">
      <c r="A74" s="126">
        <v>62</v>
      </c>
      <c r="B74" s="507"/>
      <c r="C74" s="508"/>
      <c r="D74" s="507"/>
      <c r="E74" s="507"/>
      <c r="F74" s="508"/>
      <c r="G74" s="507"/>
      <c r="H74" s="511"/>
      <c r="I74" s="127"/>
    </row>
    <row r="75" spans="1:9" x14ac:dyDescent="0.2">
      <c r="A75" s="126">
        <v>63</v>
      </c>
      <c r="B75" s="507"/>
      <c r="C75" s="508"/>
      <c r="D75" s="507"/>
      <c r="E75" s="507"/>
      <c r="F75" s="508"/>
      <c r="G75" s="507"/>
      <c r="H75" s="509"/>
      <c r="I75" s="510"/>
    </row>
    <row r="76" spans="1:9" x14ac:dyDescent="0.2">
      <c r="A76" s="126">
        <v>64</v>
      </c>
      <c r="B76" s="507"/>
      <c r="C76" s="508"/>
      <c r="D76" s="507"/>
      <c r="E76" s="507"/>
      <c r="F76" s="508"/>
      <c r="G76" s="507"/>
      <c r="H76" s="509"/>
      <c r="I76" s="510"/>
    </row>
    <row r="77" spans="1:9" x14ac:dyDescent="0.2">
      <c r="A77" s="126">
        <v>65</v>
      </c>
      <c r="B77" s="507"/>
      <c r="C77" s="508"/>
      <c r="D77" s="507"/>
      <c r="E77" s="507"/>
      <c r="F77" s="508"/>
      <c r="G77" s="507"/>
      <c r="H77" s="509"/>
      <c r="I77" s="510"/>
    </row>
    <row r="78" spans="1:9" x14ac:dyDescent="0.2">
      <c r="A78" s="126">
        <v>66</v>
      </c>
      <c r="B78" s="507"/>
      <c r="C78" s="508"/>
      <c r="D78" s="507"/>
      <c r="E78" s="507"/>
      <c r="F78" s="508"/>
      <c r="G78" s="507"/>
      <c r="H78" s="511"/>
      <c r="I78" s="127"/>
    </row>
    <row r="79" spans="1:9" x14ac:dyDescent="0.2">
      <c r="A79" s="126">
        <v>67</v>
      </c>
      <c r="B79" s="507"/>
      <c r="C79" s="508"/>
      <c r="D79" s="507"/>
      <c r="E79" s="507"/>
      <c r="F79" s="508"/>
      <c r="G79" s="507"/>
      <c r="H79" s="511"/>
      <c r="I79" s="127"/>
    </row>
    <row r="80" spans="1:9" x14ac:dyDescent="0.2">
      <c r="A80" s="126">
        <v>68</v>
      </c>
      <c r="B80" s="507"/>
      <c r="C80" s="508"/>
      <c r="D80" s="507"/>
      <c r="E80" s="507"/>
      <c r="F80" s="508"/>
      <c r="G80" s="507"/>
      <c r="H80" s="511"/>
      <c r="I80" s="127"/>
    </row>
    <row r="81" spans="1:9" x14ac:dyDescent="0.2">
      <c r="A81" s="126">
        <v>69</v>
      </c>
      <c r="B81" s="507"/>
      <c r="C81" s="508"/>
      <c r="D81" s="507"/>
      <c r="E81" s="507"/>
      <c r="F81" s="508"/>
      <c r="G81" s="507"/>
      <c r="H81" s="511"/>
      <c r="I81" s="127"/>
    </row>
    <row r="82" spans="1:9" x14ac:dyDescent="0.2">
      <c r="A82" s="126">
        <v>70</v>
      </c>
      <c r="B82" s="507"/>
      <c r="C82" s="508"/>
      <c r="D82" s="507"/>
      <c r="E82" s="507"/>
      <c r="F82" s="508"/>
      <c r="G82" s="507"/>
      <c r="H82" s="511"/>
      <c r="I82" s="127"/>
    </row>
    <row r="83" spans="1:9" x14ac:dyDescent="0.2">
      <c r="A83" s="126">
        <v>71</v>
      </c>
      <c r="B83" s="507"/>
      <c r="C83" s="508"/>
      <c r="D83" s="507"/>
      <c r="E83" s="507"/>
      <c r="F83" s="508"/>
      <c r="G83" s="507"/>
      <c r="H83" s="509"/>
      <c r="I83" s="510"/>
    </row>
    <row r="84" spans="1:9" x14ac:dyDescent="0.2">
      <c r="A84" s="126">
        <v>72</v>
      </c>
      <c r="B84" s="507"/>
      <c r="C84" s="508"/>
      <c r="D84" s="507"/>
      <c r="E84" s="507"/>
      <c r="F84" s="508"/>
      <c r="G84" s="507"/>
      <c r="H84" s="509"/>
      <c r="I84" s="510"/>
    </row>
    <row r="85" spans="1:9" x14ac:dyDescent="0.2">
      <c r="A85" s="126">
        <v>73</v>
      </c>
      <c r="B85" s="507"/>
      <c r="C85" s="508"/>
      <c r="D85" s="507"/>
      <c r="E85" s="507"/>
      <c r="F85" s="508"/>
      <c r="G85" s="507"/>
      <c r="H85" s="509"/>
      <c r="I85" s="510"/>
    </row>
    <row r="86" spans="1:9" x14ac:dyDescent="0.2">
      <c r="A86" s="126">
        <v>74</v>
      </c>
      <c r="B86" s="507"/>
      <c r="C86" s="508"/>
      <c r="D86" s="507"/>
      <c r="E86" s="507"/>
      <c r="F86" s="508"/>
      <c r="G86" s="507"/>
      <c r="H86" s="511"/>
      <c r="I86" s="127"/>
    </row>
    <row r="87" spans="1:9" x14ac:dyDescent="0.2">
      <c r="A87" s="126">
        <v>75</v>
      </c>
      <c r="B87" s="507"/>
      <c r="C87" s="508"/>
      <c r="D87" s="507"/>
      <c r="E87" s="507"/>
      <c r="F87" s="508"/>
      <c r="G87" s="507"/>
      <c r="H87" s="511"/>
      <c r="I87" s="127"/>
    </row>
    <row r="88" spans="1:9" x14ac:dyDescent="0.2">
      <c r="A88" s="126">
        <v>76</v>
      </c>
      <c r="B88" s="507"/>
      <c r="C88" s="508"/>
      <c r="D88" s="507"/>
      <c r="E88" s="507"/>
      <c r="F88" s="508"/>
      <c r="G88" s="507"/>
      <c r="H88" s="511"/>
      <c r="I88" s="127"/>
    </row>
    <row r="89" spans="1:9" x14ac:dyDescent="0.2">
      <c r="A89" s="126">
        <v>77</v>
      </c>
      <c r="B89" s="507"/>
      <c r="C89" s="508"/>
      <c r="D89" s="507"/>
      <c r="E89" s="507"/>
      <c r="F89" s="508"/>
      <c r="G89" s="507"/>
      <c r="H89" s="511"/>
      <c r="I89" s="127"/>
    </row>
    <row r="90" spans="1:9" x14ac:dyDescent="0.2">
      <c r="A90" s="126">
        <v>78</v>
      </c>
      <c r="B90" s="507"/>
      <c r="C90" s="508"/>
      <c r="D90" s="507"/>
      <c r="E90" s="507"/>
      <c r="F90" s="508"/>
      <c r="G90" s="507"/>
      <c r="H90" s="511"/>
      <c r="I90" s="127"/>
    </row>
    <row r="91" spans="1:9" x14ac:dyDescent="0.2">
      <c r="A91" s="126">
        <v>79</v>
      </c>
      <c r="B91" s="507"/>
      <c r="C91" s="508"/>
      <c r="D91" s="507"/>
      <c r="E91" s="507"/>
      <c r="F91" s="508"/>
      <c r="G91" s="507"/>
      <c r="H91" s="511"/>
      <c r="I91" s="127"/>
    </row>
    <row r="92" spans="1:9" x14ac:dyDescent="0.2">
      <c r="A92" s="126">
        <v>80</v>
      </c>
      <c r="B92" s="507"/>
      <c r="C92" s="508"/>
      <c r="D92" s="507"/>
      <c r="E92" s="507"/>
      <c r="F92" s="508"/>
      <c r="G92" s="507"/>
      <c r="H92" s="509"/>
      <c r="I92" s="510"/>
    </row>
    <row r="93" spans="1:9" x14ac:dyDescent="0.2">
      <c r="A93" s="126">
        <v>81</v>
      </c>
      <c r="B93" s="507"/>
      <c r="C93" s="508"/>
      <c r="D93" s="507"/>
      <c r="E93" s="507"/>
      <c r="F93" s="508"/>
      <c r="G93" s="507"/>
      <c r="H93" s="509"/>
      <c r="I93" s="510"/>
    </row>
    <row r="94" spans="1:9" x14ac:dyDescent="0.2">
      <c r="A94" s="126">
        <v>82</v>
      </c>
      <c r="B94" s="507"/>
      <c r="C94" s="508"/>
      <c r="D94" s="507"/>
      <c r="E94" s="507"/>
      <c r="F94" s="508"/>
      <c r="G94" s="507"/>
      <c r="H94" s="509"/>
      <c r="I94" s="510"/>
    </row>
    <row r="95" spans="1:9" x14ac:dyDescent="0.2">
      <c r="A95" s="126">
        <v>83</v>
      </c>
      <c r="B95" s="507"/>
      <c r="C95" s="508"/>
      <c r="D95" s="507"/>
      <c r="E95" s="507"/>
      <c r="F95" s="508"/>
      <c r="G95" s="507"/>
      <c r="H95" s="511"/>
      <c r="I95" s="127"/>
    </row>
    <row r="96" spans="1:9" x14ac:dyDescent="0.2">
      <c r="A96" s="126">
        <v>84</v>
      </c>
      <c r="B96" s="507"/>
      <c r="C96" s="508"/>
      <c r="D96" s="507"/>
      <c r="E96" s="507"/>
      <c r="F96" s="508"/>
      <c r="G96" s="507"/>
      <c r="H96" s="511"/>
      <c r="I96" s="127"/>
    </row>
    <row r="97" spans="1:9" x14ac:dyDescent="0.2">
      <c r="A97" s="126">
        <v>85</v>
      </c>
      <c r="B97" s="507"/>
      <c r="C97" s="508"/>
      <c r="D97" s="507"/>
      <c r="E97" s="507"/>
      <c r="F97" s="508"/>
      <c r="G97" s="507"/>
      <c r="H97" s="511"/>
      <c r="I97" s="127"/>
    </row>
    <row r="98" spans="1:9" x14ac:dyDescent="0.2">
      <c r="A98" s="126">
        <v>86</v>
      </c>
      <c r="B98" s="507"/>
      <c r="C98" s="508"/>
      <c r="D98" s="507"/>
      <c r="E98" s="507"/>
      <c r="F98" s="508"/>
      <c r="G98" s="507"/>
      <c r="H98" s="511"/>
      <c r="I98" s="127"/>
    </row>
    <row r="99" spans="1:9" x14ac:dyDescent="0.2">
      <c r="A99" s="126">
        <v>87</v>
      </c>
      <c r="B99" s="507"/>
      <c r="C99" s="508"/>
      <c r="D99" s="507"/>
      <c r="E99" s="507"/>
      <c r="F99" s="508"/>
      <c r="G99" s="507"/>
      <c r="H99" s="511"/>
      <c r="I99" s="127"/>
    </row>
    <row r="100" spans="1:9" x14ac:dyDescent="0.2">
      <c r="A100" s="126">
        <v>88</v>
      </c>
      <c r="B100" s="507"/>
      <c r="C100" s="508"/>
      <c r="D100" s="507"/>
      <c r="E100" s="507"/>
      <c r="F100" s="508"/>
      <c r="G100" s="507"/>
      <c r="H100" s="509"/>
      <c r="I100" s="510"/>
    </row>
    <row r="101" spans="1:9" x14ac:dyDescent="0.2">
      <c r="A101" s="126">
        <v>89</v>
      </c>
      <c r="B101" s="507"/>
      <c r="C101" s="508"/>
      <c r="D101" s="507"/>
      <c r="E101" s="507"/>
      <c r="F101" s="508"/>
      <c r="G101" s="507"/>
      <c r="H101" s="509"/>
      <c r="I101" s="510"/>
    </row>
    <row r="102" spans="1:9" x14ac:dyDescent="0.2">
      <c r="A102" s="126">
        <v>90</v>
      </c>
      <c r="B102" s="507"/>
      <c r="C102" s="508"/>
      <c r="D102" s="507"/>
      <c r="E102" s="507"/>
      <c r="F102" s="508"/>
      <c r="G102" s="507"/>
      <c r="H102" s="509"/>
      <c r="I102" s="510"/>
    </row>
    <row r="103" spans="1:9" x14ac:dyDescent="0.2">
      <c r="A103" s="126">
        <v>91</v>
      </c>
      <c r="B103" s="507"/>
      <c r="C103" s="508"/>
      <c r="D103" s="507"/>
      <c r="E103" s="507"/>
      <c r="F103" s="508"/>
      <c r="G103" s="507"/>
      <c r="H103" s="511"/>
      <c r="I103" s="127"/>
    </row>
    <row r="104" spans="1:9" x14ac:dyDescent="0.2">
      <c r="A104" s="126">
        <v>92</v>
      </c>
      <c r="B104" s="507"/>
      <c r="C104" s="508"/>
      <c r="D104" s="507"/>
      <c r="E104" s="507"/>
      <c r="F104" s="508"/>
      <c r="G104" s="507"/>
      <c r="H104" s="511"/>
      <c r="I104" s="127"/>
    </row>
    <row r="105" spans="1:9" x14ac:dyDescent="0.2">
      <c r="A105" s="126">
        <v>93</v>
      </c>
      <c r="B105" s="507"/>
      <c r="C105" s="508"/>
      <c r="D105" s="507"/>
      <c r="E105" s="507"/>
      <c r="F105" s="508"/>
      <c r="G105" s="507"/>
      <c r="H105" s="511"/>
      <c r="I105" s="127"/>
    </row>
    <row r="106" spans="1:9" x14ac:dyDescent="0.2">
      <c r="A106" s="126">
        <v>94</v>
      </c>
      <c r="B106" s="507"/>
      <c r="C106" s="508"/>
      <c r="D106" s="507"/>
      <c r="E106" s="507"/>
      <c r="F106" s="508"/>
      <c r="G106" s="507"/>
      <c r="H106" s="511"/>
      <c r="I106" s="127"/>
    </row>
    <row r="107" spans="1:9" x14ac:dyDescent="0.2">
      <c r="A107" s="126">
        <v>95</v>
      </c>
      <c r="B107" s="507"/>
      <c r="C107" s="508"/>
      <c r="D107" s="507"/>
      <c r="E107" s="507"/>
      <c r="F107" s="508"/>
      <c r="G107" s="507"/>
      <c r="H107" s="511"/>
      <c r="I107" s="127"/>
    </row>
    <row r="108" spans="1:9" x14ac:dyDescent="0.2">
      <c r="A108" s="126">
        <v>96</v>
      </c>
      <c r="B108" s="507"/>
      <c r="C108" s="508"/>
      <c r="D108" s="507"/>
      <c r="E108" s="507"/>
      <c r="F108" s="508"/>
      <c r="G108" s="507"/>
      <c r="H108" s="511"/>
      <c r="I108" s="127"/>
    </row>
    <row r="109" spans="1:9" x14ac:dyDescent="0.2">
      <c r="A109" s="126">
        <v>97</v>
      </c>
      <c r="B109" s="507"/>
      <c r="C109" s="508"/>
      <c r="D109" s="507"/>
      <c r="E109" s="507"/>
      <c r="F109" s="508"/>
      <c r="G109" s="507"/>
      <c r="H109" s="511"/>
      <c r="I109" s="127"/>
    </row>
    <row r="110" spans="1:9" x14ac:dyDescent="0.2">
      <c r="A110" s="126">
        <v>98</v>
      </c>
      <c r="B110" s="507"/>
      <c r="C110" s="508"/>
      <c r="D110" s="507"/>
      <c r="E110" s="507"/>
      <c r="F110" s="508"/>
      <c r="G110" s="507"/>
      <c r="H110" s="509"/>
      <c r="I110" s="510"/>
    </row>
    <row r="111" spans="1:9" x14ac:dyDescent="0.2">
      <c r="A111" s="126">
        <v>99</v>
      </c>
      <c r="B111" s="507"/>
      <c r="C111" s="508"/>
      <c r="D111" s="507"/>
      <c r="E111" s="507"/>
      <c r="F111" s="508"/>
      <c r="G111" s="507"/>
      <c r="H111" s="509"/>
      <c r="I111" s="510"/>
    </row>
    <row r="112" spans="1:9" x14ac:dyDescent="0.2">
      <c r="A112" s="126">
        <v>100</v>
      </c>
      <c r="B112" s="507"/>
      <c r="C112" s="508"/>
      <c r="D112" s="507"/>
      <c r="E112" s="507"/>
      <c r="F112" s="508"/>
      <c r="G112" s="507"/>
      <c r="H112" s="509"/>
      <c r="I112" s="510"/>
    </row>
  </sheetData>
  <sheetProtection formatCells="0" selectLockedCells="1"/>
  <dataValidations count="1">
    <dataValidation type="decimal" allowBlank="1" showInputMessage="1" showErrorMessage="1" sqref="E4:E6" xr:uid="{540DB708-1240-4D51-8FF9-F2ED814017EF}">
      <formula1>0</formula1>
      <formula2>200</formula2>
    </dataValidation>
  </dataValidations>
  <pageMargins left="0.7" right="0.7" top="0.75" bottom="0.75" header="0.3" footer="0.3"/>
  <pageSetup paperSize="9" orientation="portrait" r:id="rId1"/>
  <ignoredErrors>
    <ignoredError sqref="E4:E6" unlockedFormula="1"/>
  </ignoredErrors>
  <extLst>
    <ext xmlns:x14="http://schemas.microsoft.com/office/spreadsheetml/2009/9/main" uri="{CCE6A557-97BC-4b89-ADB6-D9C93CAAB3DF}">
      <x14:dataValidations xmlns:xm="http://schemas.microsoft.com/office/excel/2006/main" count="3">
        <x14:dataValidation type="list" allowBlank="1" showInputMessage="1" showErrorMessage="1" xr:uid="{43793E0E-63D3-45F1-A766-18FE6C5A938C}">
          <x14:formula1>
            <xm:f>DataValidation!$E$1:$E$3</xm:f>
          </x14:formula1>
          <xm:sqref>F11:F41 F43:F52 F54:F73 F75:F112</xm:sqref>
        </x14:dataValidation>
        <x14:dataValidation type="list" allowBlank="1" showInputMessage="1" showErrorMessage="1" xr:uid="{5BBA5BCA-5D7B-4CBE-809F-4C3EAE569C6A}">
          <x14:formula1>
            <xm:f>DataValidation!$A$23:$A$38</xm:f>
          </x14:formula1>
          <xm:sqref>D11:D41 D43:D52 D54:D73 D75:D112</xm:sqref>
        </x14:dataValidation>
        <x14:dataValidation type="list" allowBlank="1" showInputMessage="1" showErrorMessage="1" xr:uid="{0A1B0CF9-F48A-46BF-9119-07B9B022380B}">
          <x14:formula1>
            <xm:f>DataValidation!$A$59:$A$61</xm:f>
          </x14:formula1>
          <xm:sqref>B11:B112</xm:sqref>
        </x14:dataValidation>
      </x14:dataValidations>
    </ext>
  </extLs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473366-9105-430A-A32E-2F69D2BFBD27}">
  <sheetPr codeName="Sheet5">
    <tabColor theme="2" tint="-9.9978637043366805E-2"/>
  </sheetPr>
  <dimension ref="A1:AG281"/>
  <sheetViews>
    <sheetView topLeftCell="N1" zoomScaleNormal="100" workbookViewId="0">
      <pane ySplit="1" topLeftCell="A267" activePane="bottomLeft" state="frozen"/>
      <selection pane="bottomLeft" activeCell="S279" sqref="S279"/>
    </sheetView>
  </sheetViews>
  <sheetFormatPr defaultColWidth="8.69921875" defaultRowHeight="12.55" x14ac:dyDescent="0.2"/>
  <cols>
    <col min="1" max="1" width="13.09765625" style="276" customWidth="1"/>
    <col min="2" max="2" width="8.69921875" style="276" customWidth="1"/>
    <col min="3" max="3" width="4.09765625" style="276" hidden="1" customWidth="1"/>
    <col min="4" max="4" width="8.69921875" style="276"/>
    <col min="5" max="5" width="9.8984375" style="276" customWidth="1"/>
    <col min="6" max="6" width="9.8984375" style="276" hidden="1" customWidth="1"/>
    <col min="7" max="10" width="6.19921875" style="287" customWidth="1"/>
    <col min="11" max="11" width="11.19921875" style="287" customWidth="1"/>
    <col min="12" max="12" width="7.09765625" style="287" bestFit="1" customWidth="1"/>
    <col min="13" max="13" width="19.69921875" style="287" bestFit="1" customWidth="1"/>
    <col min="14" max="14" width="74.8984375" style="287" customWidth="1"/>
    <col min="15" max="15" width="15.19921875" style="675" bestFit="1" customWidth="1"/>
    <col min="16" max="17" width="13" style="276" bestFit="1" customWidth="1"/>
    <col min="18" max="18" width="9.09765625" style="276" hidden="1" customWidth="1"/>
    <col min="19" max="19" width="38.09765625" style="537" bestFit="1" customWidth="1"/>
    <col min="20" max="20" width="10.69921875" style="538" bestFit="1" customWidth="1"/>
    <col min="21" max="25" width="9.19921875" style="538" bestFit="1" customWidth="1"/>
    <col min="26" max="26" width="8.69921875" style="287"/>
    <col min="27" max="27" width="17.09765625" style="287" hidden="1" customWidth="1"/>
    <col min="28" max="33" width="8.69921875" style="287" hidden="1" customWidth="1"/>
    <col min="34" max="16384" width="8.69921875" style="287"/>
  </cols>
  <sheetData>
    <row r="1" spans="1:25" s="276" customFormat="1" ht="25.05" x14ac:dyDescent="0.2">
      <c r="A1" s="512" t="s">
        <v>181</v>
      </c>
      <c r="B1" s="513" t="s">
        <v>1553</v>
      </c>
      <c r="C1" s="513" t="s">
        <v>1554</v>
      </c>
      <c r="D1" s="514" t="s">
        <v>1555</v>
      </c>
      <c r="E1" s="514" t="s">
        <v>1556</v>
      </c>
      <c r="F1" s="515" t="s">
        <v>1557</v>
      </c>
      <c r="G1" s="516" t="s">
        <v>182</v>
      </c>
      <c r="H1" s="517" t="s">
        <v>183</v>
      </c>
      <c r="I1" s="518" t="s">
        <v>184</v>
      </c>
      <c r="J1" s="519" t="s">
        <v>185</v>
      </c>
      <c r="K1" s="513" t="s">
        <v>1558</v>
      </c>
      <c r="L1" s="513" t="s">
        <v>1559</v>
      </c>
      <c r="M1" s="512" t="s">
        <v>188</v>
      </c>
      <c r="N1" s="512" t="s">
        <v>189</v>
      </c>
      <c r="O1" s="513" t="s">
        <v>193</v>
      </c>
      <c r="P1" s="513" t="s">
        <v>192</v>
      </c>
      <c r="Q1" s="512" t="s">
        <v>1560</v>
      </c>
      <c r="R1" s="562" t="s">
        <v>1561</v>
      </c>
      <c r="S1" s="520" t="s">
        <v>1562</v>
      </c>
      <c r="T1" s="521" t="s">
        <v>1563</v>
      </c>
      <c r="U1" s="522" t="s">
        <v>1564</v>
      </c>
      <c r="V1" s="523" t="s">
        <v>1565</v>
      </c>
      <c r="W1" s="524" t="s">
        <v>1566</v>
      </c>
      <c r="X1" s="525" t="s">
        <v>1567</v>
      </c>
      <c r="Y1" s="526" t="s">
        <v>1568</v>
      </c>
    </row>
    <row r="2" spans="1:25" ht="25.05" x14ac:dyDescent="0.2">
      <c r="A2" s="253" t="s">
        <v>207</v>
      </c>
      <c r="B2" s="253" t="s">
        <v>1569</v>
      </c>
      <c r="C2" s="253">
        <v>5</v>
      </c>
      <c r="D2" s="253" t="s">
        <v>1570</v>
      </c>
      <c r="E2" s="253">
        <v>1.1000000000000001</v>
      </c>
      <c r="F2" s="253" t="s">
        <v>1571</v>
      </c>
      <c r="G2" s="215" t="str" cm="1">
        <f t="array" aca="1" ref="G2" ca="1">IF(INDIRECT("'"&amp;B2&amp;"'!B"&amp;C2)=0,"",INDIRECT("'"&amp;B2&amp;"'!B"&amp;C2))</f>
        <v>x</v>
      </c>
      <c r="H2" s="215" t="str" cm="1">
        <f t="array" aca="1" ref="H2" ca="1">IF(INDIRECT("'"&amp;B2&amp;"'!C"&amp;C2)=0,"",INDIRECT("'"&amp;B2&amp;"'!C"&amp;C2))</f>
        <v>x</v>
      </c>
      <c r="I2" s="215" t="str" cm="1">
        <f t="array" aca="1" ref="I2" ca="1">IF(INDIRECT("'"&amp;B2&amp;"'!D"&amp;C2)=0,"",INDIRECT("'"&amp;B2&amp;"'!D"&amp;C2))</f>
        <v>x</v>
      </c>
      <c r="J2" s="215" t="str" cm="1">
        <f t="array" aca="1" ref="J2" ca="1">IF(INDIRECT("'"&amp;B2&amp;"'!E"&amp;C2)=0,"",INDIRECT("'"&amp;B2&amp;"'!E"&amp;C2))</f>
        <v/>
      </c>
      <c r="K2" s="253" t="str" cm="1">
        <f t="array" aca="1" ref="K2" ca="1">IF(INDIRECT("'"&amp;B2&amp;"'!F"&amp;C2)=0,"N/A",INDIRECT("'"&amp;B2&amp;"'!F"&amp;C2))</f>
        <v>1.1</v>
      </c>
      <c r="L2" s="253" cm="1">
        <f t="array" aca="1" ref="L2" ca="1">IF(INDIRECT("'"&amp;B2&amp;"'!G"&amp;C2)=0,"N/A",INDIRECT("'"&amp;B2&amp;"'!G"&amp;C2))</f>
        <v>1</v>
      </c>
      <c r="M2" s="253" t="str" cm="1">
        <f t="array" aca="1" ref="M2" ca="1">IF(INDIRECT("'"&amp;B2&amp;"'!H"&amp;C2)=0,"N/A",INDIRECT("'"&amp;B2&amp;"'!H"&amp;C2))</f>
        <v>1.1 #1</v>
      </c>
      <c r="N2" s="221" t="str" cm="1">
        <f t="array" aca="1" ref="N2" ca="1">IF(INDIRECT("'"&amp;B2&amp;"'!I"&amp;C2)=0,"N/A",INDIRECT("'"&amp;B2&amp;"'!I"&amp;C2))</f>
        <v>มีการกำหนดกรอบการกำกับดูแลด้าน IT (governance framework) โดยครอบคลุมถึงรายละเอียด โครงสร้าง บทบาทหน้าที่ และกระบวนการที่เกี่ยวข้องกับการกำกับดูแลด้าน IT</v>
      </c>
      <c r="O2" s="533" t="str" cm="1">
        <f t="array" aca="1" ref="O2" ca="1">IF(INDIRECT("'"&amp;B2&amp;"'!N"&amp;C2)=0,"N/A",INDIRECT("'"&amp;B2&amp;"'!N"&amp;C2))</f>
        <v>Yes/Partial/No</v>
      </c>
      <c r="P2" s="527" t="str" cm="1">
        <f t="array" aca="1" ref="P2" ca="1">IF(INDIRECT("'"&amp;B2&amp;"'!L"&amp;C2)=0,"",INDIRECT("'"&amp;B2&amp;"'!L"&amp;C2))</f>
        <v/>
      </c>
      <c r="Q2" s="527" t="str">
        <f ca="1">IF(P2="N/A","N/A",IF(OR(P2="No",P2="M1"),1,IF(OR(P2="Partial",P2="M2"),2,IF(OR(P2="Yes",P2="M3"),3,IF(P2="M4",3,IF(P2="M5",3,""))))))</f>
        <v/>
      </c>
      <c r="R2" s="563" t="str">
        <f ca="1">IF(OR(P2="", P2="N/A"), "Yes", "")</f>
        <v>Yes</v>
      </c>
      <c r="S2" s="528" t="s">
        <v>1572</v>
      </c>
      <c r="T2" s="529" t="str">
        <f>IF(ISNUMBER(SEARCH("(GV)",$S2)),"X","")</f>
        <v>X</v>
      </c>
      <c r="U2" s="529" t="str">
        <f>IF(ISNUMBER(SEARCH("(ID)",$S2)),"X","")</f>
        <v/>
      </c>
      <c r="V2" s="529" t="str">
        <f>IF(ISNUMBER(SEARCH("(PR)",$S2)),"X","")</f>
        <v/>
      </c>
      <c r="W2" s="529" t="str">
        <f>IF(ISNUMBER(SEARCH("(DE)",$S2)),"X","")</f>
        <v/>
      </c>
      <c r="X2" s="529" t="str">
        <f>IF(ISNUMBER(SEARCH("(RS)",$S2)),"X","")</f>
        <v/>
      </c>
      <c r="Y2" s="529" t="str">
        <f>IF(ISNUMBER(SEARCH("(RC)",$S2)),"X","")</f>
        <v/>
      </c>
    </row>
    <row r="3" spans="1:25" ht="37.6" x14ac:dyDescent="0.2">
      <c r="A3" s="253" t="s">
        <v>215</v>
      </c>
      <c r="B3" s="253" t="s">
        <v>1569</v>
      </c>
      <c r="C3" s="253">
        <v>6</v>
      </c>
      <c r="D3" s="253" t="s">
        <v>1570</v>
      </c>
      <c r="E3" s="253">
        <v>1.1000000000000001</v>
      </c>
      <c r="F3" s="253" t="s">
        <v>1571</v>
      </c>
      <c r="G3" s="215" t="str" cm="1">
        <f t="array" aca="1" ref="G3" ca="1">IF(INDIRECT("'"&amp;B3&amp;"'!B"&amp;C3)=0,"",INDIRECT("'"&amp;B3&amp;"'!B"&amp;C3))</f>
        <v>x</v>
      </c>
      <c r="H3" s="215" t="str" cm="1">
        <f t="array" aca="1" ref="H3" ca="1">IF(INDIRECT("'"&amp;B3&amp;"'!C"&amp;C3)=0,"",INDIRECT("'"&amp;B3&amp;"'!C"&amp;C3))</f>
        <v>x</v>
      </c>
      <c r="I3" s="215" t="str" cm="1">
        <f t="array" aca="1" ref="I3" ca="1">IF(INDIRECT("'"&amp;B3&amp;"'!D"&amp;C3)=0,"",INDIRECT("'"&amp;B3&amp;"'!D"&amp;C3))</f>
        <v>x</v>
      </c>
      <c r="J3" s="215" t="str" cm="1">
        <f t="array" aca="1" ref="J3" ca="1">IF(INDIRECT("'"&amp;B3&amp;"'!E"&amp;C3)=0,"",INDIRECT("'"&amp;B3&amp;"'!E"&amp;C3))</f>
        <v/>
      </c>
      <c r="K3" s="253" cm="1">
        <f t="array" aca="1" ref="K3" ca="1">IF(INDIRECT("'"&amp;B3&amp;"'!F"&amp;C3)=0,"N/A",INDIRECT("'"&amp;B3&amp;"'!F"&amp;C3))</f>
        <v>1.1000000000000001</v>
      </c>
      <c r="L3" s="253" cm="1">
        <f t="array" aca="1" ref="L3" ca="1">IF(INDIRECT("'"&amp;B3&amp;"'!G"&amp;C3)=0,"N/A",INDIRECT("'"&amp;B3&amp;"'!G"&amp;C3))</f>
        <v>2</v>
      </c>
      <c r="M3" s="253" t="str" cm="1">
        <f t="array" aca="1" ref="M3" ca="1">IF(INDIRECT("'"&amp;B3&amp;"'!H"&amp;C3)=0,"N/A",INDIRECT("'"&amp;B3&amp;"'!H"&amp;C3))</f>
        <v>1.1 #2</v>
      </c>
      <c r="N3" s="221" t="str" cm="1">
        <f t="array" aca="1" ref="N3" ca="1">IF(INDIRECT("'"&amp;B3&amp;"'!I"&amp;C3)=0,"N/A",INDIRECT("'"&amp;B3&amp;"'!I"&amp;C3))</f>
        <v>มีการจัดทำแผนงานด้าน IT ประจำปีซึ่งสอดรับกับกลยุทธ์
ในการดำเนินธุรกิจ และมีความเหมาะสมเพียงพอที่จะรองรับการเปลี่ยนแปลงด้าน IT และการเปลี่ยนแปลงการดำเนินธุรกิจในอนาคต</v>
      </c>
      <c r="O3" s="533" t="str" cm="1">
        <f t="array" aca="1" ref="O3" ca="1">IF(INDIRECT("'"&amp;B3&amp;"'!N"&amp;C3)=0,"N/A",INDIRECT("'"&amp;B3&amp;"'!N"&amp;C3))</f>
        <v>Maturity</v>
      </c>
      <c r="P3" s="527" t="str" cm="1">
        <f t="array" aca="1" ref="P3" ca="1">IF(INDIRECT("'"&amp;B3&amp;"'!L"&amp;C3)=0,"",INDIRECT("'"&amp;B3&amp;"'!L"&amp;C3))</f>
        <v/>
      </c>
      <c r="Q3" s="527" t="str">
        <f t="shared" ref="Q3:Q65" ca="1" si="0">IF(P3="N/A","N/A",IF(OR(P3="No",P3="M1"),1,IF(OR(P3="Partial",P3="M2"),2,IF(OR(P3="Yes",P3="M3"),3,IF(P3="M4",3,IF(P3="M5",3,""))))))</f>
        <v/>
      </c>
      <c r="R3" s="563" t="str">
        <f t="shared" ref="R3:R66" ca="1" si="1">IF(OR(P3="", P3="N/A"), "Yes", "")</f>
        <v>Yes</v>
      </c>
      <c r="S3" s="528" t="s">
        <v>1572</v>
      </c>
      <c r="T3" s="529" t="str">
        <f t="shared" ref="T3:T66" si="2">IF(ISNUMBER(SEARCH("(GV)",$S3)),"X","")</f>
        <v>X</v>
      </c>
      <c r="U3" s="529" t="str">
        <f t="shared" ref="T3:U66" si="3">IF(ISNUMBER(SEARCH("(ID)",$S3)),"X","")</f>
        <v/>
      </c>
      <c r="V3" s="529" t="str">
        <f t="shared" ref="V3:V66" si="4">IF(ISNUMBER(SEARCH("(PR)",$S3)),"X","")</f>
        <v/>
      </c>
      <c r="W3" s="529" t="str">
        <f t="shared" ref="W3:W66" si="5">IF(ISNUMBER(SEARCH("(DE)",$S3)),"X","")</f>
        <v/>
      </c>
      <c r="X3" s="529" t="str">
        <f t="shared" ref="X3:X66" si="6">IF(ISNUMBER(SEARCH("(RS)",$S3)),"X","")</f>
        <v/>
      </c>
      <c r="Y3" s="529" t="str">
        <f t="shared" ref="Y3:Y66" si="7">IF(ISNUMBER(SEARCH("(RC)",$S3)),"X","")</f>
        <v/>
      </c>
    </row>
    <row r="4" spans="1:25" ht="50.1" x14ac:dyDescent="0.2">
      <c r="A4" s="253" t="s">
        <v>225</v>
      </c>
      <c r="B4" s="253" t="s">
        <v>1569</v>
      </c>
      <c r="C4" s="253">
        <v>7</v>
      </c>
      <c r="D4" s="253" t="s">
        <v>1570</v>
      </c>
      <c r="E4" s="253">
        <v>1.1000000000000001</v>
      </c>
      <c r="F4" s="253" t="s">
        <v>1571</v>
      </c>
      <c r="G4" s="215" t="str" cm="1">
        <f t="array" aca="1" ref="G4" ca="1">IF(INDIRECT("'"&amp;B4&amp;"'!B"&amp;C4)=0,"",INDIRECT("'"&amp;B4&amp;"'!B"&amp;C4))</f>
        <v>x</v>
      </c>
      <c r="H4" s="215" t="str" cm="1">
        <f t="array" aca="1" ref="H4" ca="1">IF(INDIRECT("'"&amp;B4&amp;"'!C"&amp;C4)=0,"",INDIRECT("'"&amp;B4&amp;"'!C"&amp;C4))</f>
        <v>x</v>
      </c>
      <c r="I4" s="215" t="str" cm="1">
        <f t="array" aca="1" ref="I4" ca="1">IF(INDIRECT("'"&amp;B4&amp;"'!D"&amp;C4)=0,"",INDIRECT("'"&amp;B4&amp;"'!D"&amp;C4))</f>
        <v>x</v>
      </c>
      <c r="J4" s="215" t="str" cm="1">
        <f t="array" aca="1" ref="J4" ca="1">IF(INDIRECT("'"&amp;B4&amp;"'!E"&amp;C4)=0,"",INDIRECT("'"&amp;B4&amp;"'!E"&amp;C4))</f>
        <v/>
      </c>
      <c r="K4" s="253" cm="1">
        <f t="array" aca="1" ref="K4" ca="1">IF(INDIRECT("'"&amp;B4&amp;"'!F"&amp;C4)=0,"N/A",INDIRECT("'"&amp;B4&amp;"'!F"&amp;C4))</f>
        <v>1.2</v>
      </c>
      <c r="L4" s="253" cm="1">
        <f t="array" aca="1" ref="L4" ca="1">IF(INDIRECT("'"&amp;B4&amp;"'!G"&amp;C4)=0,"N/A",INDIRECT("'"&amp;B4&amp;"'!G"&amp;C4))</f>
        <v>1</v>
      </c>
      <c r="M4" s="253" t="str" cm="1">
        <f t="array" aca="1" ref="M4" ca="1">IF(INDIRECT("'"&amp;B4&amp;"'!H"&amp;C4)=0,"N/A",INDIRECT("'"&amp;B4&amp;"'!H"&amp;C4))</f>
        <v>1.2 #1</v>
      </c>
      <c r="N4" s="221" t="str" cm="1">
        <f t="array" aca="1" ref="N4" ca="1">IF(INDIRECT("'"&amp;B4&amp;"'!I"&amp;C4)=0,"N/A",INDIRECT("'"&amp;B4&amp;"'!I"&amp;C4))</f>
        <v xml:space="preserve">มีการบริหารทรัพยากรทางด้าน IT และทรัพยากรบุคคลให้สอดคล้องกับเป้าหมาย ตามภารกิจ กลยุทธ์ นโยบาย และแผนการดำเนินงานที่กำหนดไว้
</v>
      </c>
      <c r="O4" s="533" t="str" cm="1">
        <f t="array" aca="1" ref="O4" ca="1">IF(INDIRECT("'"&amp;B4&amp;"'!N"&amp;C4)=0,"N/A",INDIRECT("'"&amp;B4&amp;"'!N"&amp;C4))</f>
        <v>Maturity</v>
      </c>
      <c r="P4" s="527" t="str" cm="1">
        <f t="array" aca="1" ref="P4" ca="1">IF(INDIRECT("'"&amp;B4&amp;"'!L"&amp;C4)=0,"",INDIRECT("'"&amp;B4&amp;"'!L"&amp;C4))</f>
        <v/>
      </c>
      <c r="Q4" s="527" t="str">
        <f t="shared" ca="1" si="0"/>
        <v/>
      </c>
      <c r="R4" s="563" t="str">
        <f t="shared" ca="1" si="1"/>
        <v>Yes</v>
      </c>
      <c r="S4" s="528" t="s">
        <v>1572</v>
      </c>
      <c r="T4" s="529" t="str">
        <f t="shared" si="2"/>
        <v>X</v>
      </c>
      <c r="U4" s="529" t="str">
        <f t="shared" si="3"/>
        <v/>
      </c>
      <c r="V4" s="529" t="str">
        <f t="shared" si="4"/>
        <v/>
      </c>
      <c r="W4" s="529" t="str">
        <f t="shared" si="5"/>
        <v/>
      </c>
      <c r="X4" s="529" t="str">
        <f t="shared" si="6"/>
        <v/>
      </c>
      <c r="Y4" s="529" t="str">
        <f t="shared" si="7"/>
        <v/>
      </c>
    </row>
    <row r="5" spans="1:25" x14ac:dyDescent="0.2">
      <c r="A5" s="253" t="s">
        <v>234</v>
      </c>
      <c r="B5" s="253" t="s">
        <v>1569</v>
      </c>
      <c r="C5" s="253">
        <v>8</v>
      </c>
      <c r="D5" s="253" t="s">
        <v>1570</v>
      </c>
      <c r="E5" s="253">
        <v>1.1000000000000001</v>
      </c>
      <c r="F5" s="253" t="s">
        <v>1571</v>
      </c>
      <c r="G5" s="215" t="str" cm="1">
        <f t="array" aca="1" ref="G5" ca="1">IF(INDIRECT("'"&amp;B5&amp;"'!B"&amp;C5)=0,"",INDIRECT("'"&amp;B5&amp;"'!B"&amp;C5))</f>
        <v>x</v>
      </c>
      <c r="H5" s="215" t="str" cm="1">
        <f t="array" aca="1" ref="H5" ca="1">IF(INDIRECT("'"&amp;B5&amp;"'!C"&amp;C5)=0,"",INDIRECT("'"&amp;B5&amp;"'!C"&amp;C5))</f>
        <v>x</v>
      </c>
      <c r="I5" s="215" t="str" cm="1">
        <f t="array" aca="1" ref="I5" ca="1">IF(INDIRECT("'"&amp;B5&amp;"'!D"&amp;C5)=0,"",INDIRECT("'"&amp;B5&amp;"'!D"&amp;C5))</f>
        <v>x</v>
      </c>
      <c r="J5" s="215" t="str" cm="1">
        <f t="array" aca="1" ref="J5" ca="1">IF(INDIRECT("'"&amp;B5&amp;"'!E"&amp;C5)=0,"",INDIRECT("'"&amp;B5&amp;"'!E"&amp;C5))</f>
        <v/>
      </c>
      <c r="K5" s="253" cm="1">
        <f t="array" aca="1" ref="K5" ca="1">IF(INDIRECT("'"&amp;B5&amp;"'!F"&amp;C5)=0,"N/A",INDIRECT("'"&amp;B5&amp;"'!F"&amp;C5))</f>
        <v>1.3</v>
      </c>
      <c r="L5" s="253" t="str" cm="1">
        <f t="array" aca="1" ref="L5" ca="1">IF(INDIRECT("'"&amp;B5&amp;"'!G"&amp;C5)=0,"N/A",INDIRECT("'"&amp;B5&amp;"'!G"&amp;C5))</f>
        <v>N/A</v>
      </c>
      <c r="M5" s="253" cm="1">
        <f t="array" aca="1" ref="M5" ca="1">IF(INDIRECT("'"&amp;B5&amp;"'!H"&amp;C5)=0,"N/A",INDIRECT("'"&amp;B5&amp;"'!H"&amp;C5))</f>
        <v>1.3</v>
      </c>
      <c r="N5" s="530" t="str" cm="1">
        <f t="array" aca="1" ref="N5" ca="1">IF(INDIRECT("'"&amp;B5&amp;"'!I"&amp;C5)=0,"N/A",INDIRECT("'"&amp;B5&amp;"'!I"&amp;C5))</f>
        <v xml:space="preserve">- อ้างอิงการควบคุมที่ 2.2 -
</v>
      </c>
      <c r="O5" s="533" t="str" cm="1">
        <f t="array" aca="1" ref="O5" ca="1">IF(INDIRECT("'"&amp;B5&amp;"'!N"&amp;C5)=0,"N/A",INDIRECT("'"&amp;B5&amp;"'!N"&amp;C5))</f>
        <v>N/A</v>
      </c>
      <c r="P5" s="527" t="str" cm="1">
        <f t="array" aca="1" ref="P5" ca="1">IF(INDIRECT("'"&amp;B5&amp;"'!L"&amp;C5)=0,"",INDIRECT("'"&amp;B5&amp;"'!L"&amp;C5))</f>
        <v/>
      </c>
      <c r="Q5" s="527" t="str">
        <f t="shared" ca="1" si="0"/>
        <v/>
      </c>
      <c r="R5" s="563" t="str">
        <f t="shared" ca="1" si="1"/>
        <v>Yes</v>
      </c>
      <c r="S5" s="528"/>
      <c r="T5" s="529" t="str">
        <f t="shared" si="2"/>
        <v/>
      </c>
      <c r="U5" s="529" t="str">
        <f t="shared" si="3"/>
        <v/>
      </c>
      <c r="V5" s="529" t="str">
        <f t="shared" si="4"/>
        <v/>
      </c>
      <c r="W5" s="529" t="str">
        <f t="shared" si="5"/>
        <v/>
      </c>
      <c r="X5" s="529" t="str">
        <f t="shared" si="6"/>
        <v/>
      </c>
      <c r="Y5" s="529" t="str">
        <f t="shared" si="7"/>
        <v/>
      </c>
    </row>
    <row r="6" spans="1:25" x14ac:dyDescent="0.2">
      <c r="A6" s="253" t="s">
        <v>236</v>
      </c>
      <c r="B6" s="253" t="s">
        <v>1569</v>
      </c>
      <c r="C6" s="253">
        <v>9</v>
      </c>
      <c r="D6" s="253" t="s">
        <v>1570</v>
      </c>
      <c r="E6" s="253">
        <v>1.1000000000000001</v>
      </c>
      <c r="F6" s="253" t="s">
        <v>1571</v>
      </c>
      <c r="G6" s="215" t="str" cm="1">
        <f t="array" aca="1" ref="G6" ca="1">IF(INDIRECT("'"&amp;B6&amp;"'!B"&amp;C6)=0,"",INDIRECT("'"&amp;B6&amp;"'!B"&amp;C6))</f>
        <v>x</v>
      </c>
      <c r="H6" s="215" t="str" cm="1">
        <f t="array" aca="1" ref="H6" ca="1">IF(INDIRECT("'"&amp;B6&amp;"'!C"&amp;C6)=0,"",INDIRECT("'"&amp;B6&amp;"'!C"&amp;C6))</f>
        <v>x</v>
      </c>
      <c r="I6" s="215" t="str" cm="1">
        <f t="array" aca="1" ref="I6" ca="1">IF(INDIRECT("'"&amp;B6&amp;"'!D"&amp;C6)=0,"",INDIRECT("'"&amp;B6&amp;"'!D"&amp;C6))</f>
        <v>x</v>
      </c>
      <c r="J6" s="215" t="str" cm="1">
        <f t="array" aca="1" ref="J6" ca="1">IF(INDIRECT("'"&amp;B6&amp;"'!E"&amp;C6)=0,"",INDIRECT("'"&amp;B6&amp;"'!E"&amp;C6))</f>
        <v/>
      </c>
      <c r="K6" s="253" cm="1">
        <f t="array" aca="1" ref="K6" ca="1">IF(INDIRECT("'"&amp;B6&amp;"'!F"&amp;C6)=0,"N/A",INDIRECT("'"&amp;B6&amp;"'!F"&amp;C6))</f>
        <v>1.4</v>
      </c>
      <c r="L6" s="253" t="str" cm="1">
        <f t="array" aca="1" ref="L6" ca="1">IF(INDIRECT("'"&amp;B6&amp;"'!G"&amp;C6)=0,"N/A",INDIRECT("'"&amp;B6&amp;"'!G"&amp;C6))</f>
        <v>N/A</v>
      </c>
      <c r="M6" s="253" cm="1">
        <f t="array" aca="1" ref="M6" ca="1">IF(INDIRECT("'"&amp;B6&amp;"'!H"&amp;C6)=0,"N/A",INDIRECT("'"&amp;B6&amp;"'!H"&amp;C6))</f>
        <v>1.4</v>
      </c>
      <c r="N6" s="530" t="str" cm="1">
        <f t="array" aca="1" ref="N6" ca="1">IF(INDIRECT("'"&amp;B6&amp;"'!I"&amp;C6)=0,"N/A",INDIRECT("'"&amp;B6&amp;"'!I"&amp;C6))</f>
        <v xml:space="preserve">- อ้างอิงการควบคุมที่ 2.2.1 และ 2.2.2 -
</v>
      </c>
      <c r="O6" s="533" t="str" cm="1">
        <f t="array" aca="1" ref="O6" ca="1">IF(INDIRECT("'"&amp;B6&amp;"'!N"&amp;C6)=0,"N/A",INDIRECT("'"&amp;B6&amp;"'!N"&amp;C6))</f>
        <v>N/A</v>
      </c>
      <c r="P6" s="527" t="str" cm="1">
        <f t="array" aca="1" ref="P6" ca="1">IF(INDIRECT("'"&amp;B6&amp;"'!L"&amp;C6)=0,"",INDIRECT("'"&amp;B6&amp;"'!L"&amp;C6))</f>
        <v/>
      </c>
      <c r="Q6" s="527" t="str">
        <f t="shared" ca="1" si="0"/>
        <v/>
      </c>
      <c r="R6" s="563" t="str">
        <f t="shared" ca="1" si="1"/>
        <v>Yes</v>
      </c>
      <c r="S6" s="528"/>
      <c r="T6" s="529" t="str">
        <f t="shared" si="2"/>
        <v/>
      </c>
      <c r="U6" s="529" t="str">
        <f t="shared" si="3"/>
        <v/>
      </c>
      <c r="V6" s="529" t="str">
        <f t="shared" si="4"/>
        <v/>
      </c>
      <c r="W6" s="529" t="str">
        <f t="shared" si="5"/>
        <v/>
      </c>
      <c r="X6" s="529" t="str">
        <f t="shared" si="6"/>
        <v/>
      </c>
      <c r="Y6" s="529" t="str">
        <f t="shared" si="7"/>
        <v/>
      </c>
    </row>
    <row r="7" spans="1:25" ht="50.1" x14ac:dyDescent="0.2">
      <c r="A7" s="253" t="s">
        <v>238</v>
      </c>
      <c r="B7" s="253" t="s">
        <v>1569</v>
      </c>
      <c r="C7" s="253">
        <v>10</v>
      </c>
      <c r="D7" s="253" t="s">
        <v>1570</v>
      </c>
      <c r="E7" s="253">
        <v>1.1000000000000001</v>
      </c>
      <c r="F7" s="253" t="s">
        <v>1571</v>
      </c>
      <c r="G7" s="215" t="str" cm="1">
        <f t="array" aca="1" ref="G7" ca="1">IF(INDIRECT("'"&amp;B7&amp;"'!B"&amp;C7)=0,"",INDIRECT("'"&amp;B7&amp;"'!B"&amp;C7))</f>
        <v>x</v>
      </c>
      <c r="H7" s="215" t="str" cm="1">
        <f t="array" aca="1" ref="H7" ca="1">IF(INDIRECT("'"&amp;B7&amp;"'!C"&amp;C7)=0,"",INDIRECT("'"&amp;B7&amp;"'!C"&amp;C7))</f>
        <v>x</v>
      </c>
      <c r="I7" s="215" t="str" cm="1">
        <f t="array" aca="1" ref="I7" ca="1">IF(INDIRECT("'"&amp;B7&amp;"'!D"&amp;C7)=0,"",INDIRECT("'"&amp;B7&amp;"'!D"&amp;C7))</f>
        <v>x</v>
      </c>
      <c r="J7" s="215" t="str" cm="1">
        <f t="array" aca="1" ref="J7" ca="1">IF(INDIRECT("'"&amp;B7&amp;"'!E"&amp;C7)=0,"",INDIRECT("'"&amp;B7&amp;"'!E"&amp;C7))</f>
        <v/>
      </c>
      <c r="K7" s="253" t="str" cm="1">
        <f t="array" aca="1" ref="K7" ca="1">IF(INDIRECT("'"&amp;B7&amp;"'!F"&amp;C7)=0,"N/A",INDIRECT("'"&amp;B7&amp;"'!F"&amp;C7))</f>
        <v>1.5</v>
      </c>
      <c r="L7" s="253" t="str" cm="1">
        <f t="array" aca="1" ref="L7" ca="1">IF(INDIRECT("'"&amp;B7&amp;"'!G"&amp;C7)=0,"N/A",INDIRECT("'"&amp;B7&amp;"'!G"&amp;C7))</f>
        <v>1</v>
      </c>
      <c r="M7" s="253" t="str" cm="1">
        <f t="array" aca="1" ref="M7" ca="1">IF(INDIRECT("'"&amp;B7&amp;"'!H"&amp;C7)=0,"N/A",INDIRECT("'"&amp;B7&amp;"'!H"&amp;C7))</f>
        <v>1.5 #1</v>
      </c>
      <c r="N7" s="221" t="str" cm="1">
        <f t="array" aca="1" ref="N7" ca="1">IF(INDIRECT("'"&amp;B7&amp;"'!I"&amp;C7)=0,"N/A",INDIRECT("'"&amp;B7&amp;"'!I"&amp;C7))</f>
        <v>มีกระบวนการการสร้างความรู้และความตระหนักด้าน IT Risk แก่กรรมการและบุคลากรอย่างต่อเนื่องและมีประสิทธิผล โดยกรรมการของผู้ประกอบธุรกิจ อย่างน้อย 1 ท่าน ได้รับการสร้างความรู้และความตระหนักด้าน IT Risk อย่างเพียงพอ ตามระยะเวลาที่เหมาะสม เพื่อให้เท่าทันกับภัยคุกคามใหม่ และสภาพแวดล้อมด้าน IT ที่เปลี่ยนแปลงไป</v>
      </c>
      <c r="O7" s="533" t="str" cm="1">
        <f t="array" aca="1" ref="O7" ca="1">IF(INDIRECT("'"&amp;B7&amp;"'!N"&amp;C7)=0,"N/A",INDIRECT("'"&amp;B7&amp;"'!N"&amp;C7))</f>
        <v>Maturity</v>
      </c>
      <c r="P7" s="527" t="str" cm="1">
        <f t="array" aca="1" ref="P7" ca="1">IF(INDIRECT("'"&amp;B7&amp;"'!L"&amp;C7)=0,"",INDIRECT("'"&amp;B7&amp;"'!L"&amp;C7))</f>
        <v/>
      </c>
      <c r="Q7" s="527" t="str">
        <f t="shared" ca="1" si="0"/>
        <v/>
      </c>
      <c r="R7" s="563" t="str">
        <f t="shared" ca="1" si="1"/>
        <v>Yes</v>
      </c>
      <c r="S7" s="528" t="s">
        <v>1573</v>
      </c>
      <c r="T7" s="529" t="str">
        <f t="shared" si="2"/>
        <v>X</v>
      </c>
      <c r="U7" s="529" t="str">
        <f t="shared" si="3"/>
        <v/>
      </c>
      <c r="V7" s="529" t="str">
        <f t="shared" si="4"/>
        <v>X</v>
      </c>
      <c r="W7" s="529" t="str">
        <f t="shared" si="5"/>
        <v/>
      </c>
      <c r="X7" s="529" t="str">
        <f t="shared" si="6"/>
        <v/>
      </c>
      <c r="Y7" s="529" t="str">
        <f t="shared" si="7"/>
        <v/>
      </c>
    </row>
    <row r="8" spans="1:25" ht="50.1" x14ac:dyDescent="0.2">
      <c r="A8" s="253" t="s">
        <v>249</v>
      </c>
      <c r="B8" s="253" t="s">
        <v>1569</v>
      </c>
      <c r="C8" s="253">
        <v>11</v>
      </c>
      <c r="D8" s="253" t="s">
        <v>1570</v>
      </c>
      <c r="E8" s="253">
        <v>1.1000000000000001</v>
      </c>
      <c r="F8" s="253" t="s">
        <v>1571</v>
      </c>
      <c r="G8" s="215" t="str" cm="1">
        <f t="array" aca="1" ref="G8" ca="1">IF(INDIRECT("'"&amp;B8&amp;"'!B"&amp;C8)=0,"",INDIRECT("'"&amp;B8&amp;"'!B"&amp;C8))</f>
        <v>x</v>
      </c>
      <c r="H8" s="215" t="str" cm="1">
        <f t="array" aca="1" ref="H8" ca="1">IF(INDIRECT("'"&amp;B8&amp;"'!C"&amp;C8)=0,"",INDIRECT("'"&amp;B8&amp;"'!C"&amp;C8))</f>
        <v>x</v>
      </c>
      <c r="I8" s="215" t="str" cm="1">
        <f t="array" aca="1" ref="I8" ca="1">IF(INDIRECT("'"&amp;B8&amp;"'!D"&amp;C8)=0,"",INDIRECT("'"&amp;B8&amp;"'!D"&amp;C8))</f>
        <v>x</v>
      </c>
      <c r="J8" s="215" t="str" cm="1">
        <f t="array" aca="1" ref="J8" ca="1">IF(INDIRECT("'"&amp;B8&amp;"'!E"&amp;C8)=0,"",INDIRECT("'"&amp;B8&amp;"'!E"&amp;C8))</f>
        <v/>
      </c>
      <c r="K8" s="253" cm="1">
        <f t="array" aca="1" ref="K8" ca="1">IF(INDIRECT("'"&amp;B8&amp;"'!F"&amp;C8)=0,"N/A",INDIRECT("'"&amp;B8&amp;"'!F"&amp;C8))</f>
        <v>1.6</v>
      </c>
      <c r="L8" s="253" t="str" cm="1">
        <f t="array" aca="1" ref="L8" ca="1">IF(INDIRECT("'"&amp;B8&amp;"'!G"&amp;C8)=0,"N/A",INDIRECT("'"&amp;B8&amp;"'!G"&amp;C8))</f>
        <v>1-2</v>
      </c>
      <c r="M8" s="253" t="str" cm="1">
        <f t="array" aca="1" ref="M8" ca="1">IF(INDIRECT("'"&amp;B8&amp;"'!H"&amp;C8)=0,"N/A",INDIRECT("'"&amp;B8&amp;"'!H"&amp;C8))</f>
        <v>1.6 #1-2</v>
      </c>
      <c r="N8" s="221" t="str" cm="1">
        <f t="array" aca="1" ref="N8" ca="1">IF(INDIRECT("'"&amp;B8&amp;"'!I"&amp;C8)=0,"N/A",INDIRECT("'"&amp;B8&amp;"'!I"&amp;C8))</f>
        <v>มีกระบวนการติดตาม ตรวจสอบ และจัดให้มีรายงานผลการปฏิบัติตามนโยบายในการกำกับดูแลและบริหารจัดการ IT ต่อคณะกรรมการของผู้ประกอบธุรกิจ หรือคณะกรรมการที่ได้รับมอบหมายจากคณะกรรมการของ ผู้ประกอบธุรกิจเฉพาะกรณีเป็นสาขาของธนาคารพาณิชย์ต่างประเทศ เมื่อมีเหตุการณ์สำคัญที่มีผลกระทบต่อการกำกับดูแลและบริหารจัดการ IT  หรือ อย่างน้อยปีละ 1 ครั้ง</v>
      </c>
      <c r="O8" s="533" t="str" cm="1">
        <f t="array" aca="1" ref="O8" ca="1">IF(INDIRECT("'"&amp;B8&amp;"'!N"&amp;C8)=0,"N/A",INDIRECT("'"&amp;B8&amp;"'!N"&amp;C8))</f>
        <v>Yes/Partial/No</v>
      </c>
      <c r="P8" s="527" t="str" cm="1">
        <f t="array" aca="1" ref="P8" ca="1">IF(INDIRECT("'"&amp;B8&amp;"'!L"&amp;C8)=0,"",INDIRECT("'"&amp;B8&amp;"'!L"&amp;C8))</f>
        <v/>
      </c>
      <c r="Q8" s="527" t="str">
        <f t="shared" ca="1" si="0"/>
        <v/>
      </c>
      <c r="R8" s="563" t="str">
        <f t="shared" ca="1" si="1"/>
        <v>Yes</v>
      </c>
      <c r="S8" s="528" t="s">
        <v>1572</v>
      </c>
      <c r="T8" s="529" t="str">
        <f t="shared" si="2"/>
        <v>X</v>
      </c>
      <c r="U8" s="529" t="str">
        <f t="shared" si="3"/>
        <v/>
      </c>
      <c r="V8" s="529" t="str">
        <f t="shared" si="4"/>
        <v/>
      </c>
      <c r="W8" s="529" t="str">
        <f t="shared" si="5"/>
        <v/>
      </c>
      <c r="X8" s="529" t="str">
        <f t="shared" si="6"/>
        <v/>
      </c>
      <c r="Y8" s="529" t="str">
        <f t="shared" si="7"/>
        <v/>
      </c>
    </row>
    <row r="9" spans="1:25" ht="87.65" x14ac:dyDescent="0.2">
      <c r="A9" s="253" t="s">
        <v>256</v>
      </c>
      <c r="B9" s="253" t="s">
        <v>1569</v>
      </c>
      <c r="C9" s="253">
        <v>14</v>
      </c>
      <c r="D9" s="253" t="s">
        <v>1570</v>
      </c>
      <c r="E9" s="253">
        <v>1.2</v>
      </c>
      <c r="F9" s="253" t="s">
        <v>1571</v>
      </c>
      <c r="G9" s="215" t="str" cm="1">
        <f t="array" aca="1" ref="G9" ca="1">IF(INDIRECT("'"&amp;B9&amp;"'!B"&amp;C9)=0,"",INDIRECT("'"&amp;B9&amp;"'!B"&amp;C9))</f>
        <v>x</v>
      </c>
      <c r="H9" s="215" t="str" cm="1">
        <f t="array" aca="1" ref="H9" ca="1">IF(INDIRECT("'"&amp;B9&amp;"'!C"&amp;C9)=0,"",INDIRECT("'"&amp;B9&amp;"'!C"&amp;C9))</f>
        <v>x</v>
      </c>
      <c r="I9" s="215" t="str" cm="1">
        <f t="array" aca="1" ref="I9" ca="1">IF(INDIRECT("'"&amp;B9&amp;"'!D"&amp;C9)=0,"",INDIRECT("'"&amp;B9&amp;"'!D"&amp;C9))</f>
        <v>x</v>
      </c>
      <c r="J9" s="215" t="str" cm="1">
        <f t="array" aca="1" ref="J9" ca="1">IF(INDIRECT("'"&amp;B9&amp;"'!E"&amp;C9)=0,"",INDIRECT("'"&amp;B9&amp;"'!E"&amp;C9))</f>
        <v/>
      </c>
      <c r="K9" s="253" t="str" cm="1">
        <f t="array" aca="1" ref="K9" ca="1">IF(INDIRECT("'"&amp;B9&amp;"'!F"&amp;C9)=0,"N/A",INDIRECT("'"&amp;B9&amp;"'!F"&amp;C9))</f>
        <v>2.1</v>
      </c>
      <c r="L9" s="253" t="str" cm="1">
        <f t="array" aca="1" ref="L9" ca="1">IF(INDIRECT("'"&amp;B9&amp;"'!G"&amp;C9)=0,"N/A",INDIRECT("'"&amp;B9&amp;"'!G"&amp;C9))</f>
        <v>1</v>
      </c>
      <c r="M9" s="253" t="str" cm="1">
        <f t="array" aca="1" ref="M9" ca="1">IF(INDIRECT("'"&amp;B9&amp;"'!H"&amp;C9)=0,"N/A",INDIRECT("'"&amp;B9&amp;"'!H"&amp;C9))</f>
        <v>2.1 #1</v>
      </c>
      <c r="N9" s="221" t="str" cm="1">
        <f t="array" aca="1" ref="N9" ca="1">IF(INDIRECT("'"&amp;B9&amp;"'!I"&amp;C9)=0,"N/A",INDIRECT("'"&amp;B9&amp;"'!I"&amp;C9))</f>
        <v>มีโครงสร้างการกำกับดูแลและบริหารจัดการ IT Risk ที่มีการถ่วงดุลอำนาจ (check and balance) และมีการแบ่งแยกหน้าที่ (segratation of duties) อย่างเหมาะสม ตามหลักการแบ่งแยกหน้าที่ 3 ระดับ  (3 Lines of Defense : 3 LoDs) โดยมีการแบ่งแยกหน้าที่อย่างชัดเจน ดังนี้
    (1) ระดับที่ 1 (first line of defense) : การปฏิบัติงาน
    (2) ระดับที่ 2 (second line of defense) : การบริหารความเสี่ยงและกำกับดูแลการปฏิบัติตามกฎหมายและหลักเกณฑ์ที่เกี่ยวข้อง
    (3) ระดับที่ 3 (third line of defense) : การตรวจสอบ</v>
      </c>
      <c r="O9" s="533" t="str" cm="1">
        <f t="array" aca="1" ref="O9" ca="1">IF(INDIRECT("'"&amp;B9&amp;"'!N"&amp;C9)=0,"N/A",INDIRECT("'"&amp;B9&amp;"'!N"&amp;C9))</f>
        <v>Yes/Partial/No</v>
      </c>
      <c r="P9" s="527" t="str" cm="1">
        <f t="array" aca="1" ref="P9" ca="1">IF(INDIRECT("'"&amp;B9&amp;"'!L"&amp;C9)=0,"",INDIRECT("'"&amp;B9&amp;"'!L"&amp;C9))</f>
        <v/>
      </c>
      <c r="Q9" s="527" t="str">
        <f t="shared" ca="1" si="0"/>
        <v/>
      </c>
      <c r="R9" s="563" t="str">
        <f t="shared" ca="1" si="1"/>
        <v>Yes</v>
      </c>
      <c r="S9" s="528" t="s">
        <v>1573</v>
      </c>
      <c r="T9" s="529" t="str">
        <f t="shared" si="2"/>
        <v>X</v>
      </c>
      <c r="U9" s="529" t="str">
        <f t="shared" si="3"/>
        <v/>
      </c>
      <c r="V9" s="529" t="str">
        <f t="shared" si="4"/>
        <v>X</v>
      </c>
      <c r="W9" s="529" t="str">
        <f t="shared" si="5"/>
        <v/>
      </c>
      <c r="X9" s="529" t="str">
        <f t="shared" si="6"/>
        <v/>
      </c>
      <c r="Y9" s="529" t="str">
        <f t="shared" si="7"/>
        <v/>
      </c>
    </row>
    <row r="10" spans="1:25" ht="37.6" x14ac:dyDescent="0.2">
      <c r="A10" s="253" t="s">
        <v>261</v>
      </c>
      <c r="B10" s="253" t="s">
        <v>1569</v>
      </c>
      <c r="C10" s="253">
        <v>15</v>
      </c>
      <c r="D10" s="253" t="s">
        <v>1570</v>
      </c>
      <c r="E10" s="253">
        <v>1.2</v>
      </c>
      <c r="F10" s="253" t="s">
        <v>1574</v>
      </c>
      <c r="G10" s="215" t="str" cm="1">
        <f t="array" aca="1" ref="G10" ca="1">IF(INDIRECT("'"&amp;B10&amp;"'!B"&amp;C10)=0,"",INDIRECT("'"&amp;B10&amp;"'!B"&amp;C10))</f>
        <v>x</v>
      </c>
      <c r="H10" s="215" t="str" cm="1">
        <f t="array" aca="1" ref="H10" ca="1">IF(INDIRECT("'"&amp;B10&amp;"'!C"&amp;C10)=0,"",INDIRECT("'"&amp;B10&amp;"'!C"&amp;C10))</f>
        <v/>
      </c>
      <c r="I10" s="215" t="str" cm="1">
        <f t="array" aca="1" ref="I10" ca="1">IF(INDIRECT("'"&amp;B10&amp;"'!D"&amp;C10)=0,"",INDIRECT("'"&amp;B10&amp;"'!D"&amp;C10))</f>
        <v/>
      </c>
      <c r="J10" s="215" t="str" cm="1">
        <f t="array" aca="1" ref="J10" ca="1">IF(INDIRECT("'"&amp;B10&amp;"'!E"&amp;C10)=0,"",INDIRECT("'"&amp;B10&amp;"'!E"&amp;C10))</f>
        <v/>
      </c>
      <c r="K10" s="253" t="str" cm="1">
        <f t="array" aca="1" ref="K10" ca="1">IF(INDIRECT("'"&amp;B10&amp;"'!F"&amp;C10)=0,"N/A",INDIRECT("'"&amp;B10&amp;"'!F"&amp;C10))</f>
        <v>2.1</v>
      </c>
      <c r="L10" s="253" t="str" cm="1">
        <f t="array" aca="1" ref="L10" ca="1">IF(INDIRECT("'"&amp;B10&amp;"'!G"&amp;C10)=0,"N/A",INDIRECT("'"&amp;B10&amp;"'!G"&amp;C10))</f>
        <v>2</v>
      </c>
      <c r="M10" s="253" t="str" cm="1">
        <f t="array" aca="1" ref="M10" ca="1">IF(INDIRECT("'"&amp;B10&amp;"'!H"&amp;C10)=0,"N/A",INDIRECT("'"&amp;B10&amp;"'!H"&amp;C10))</f>
        <v>2.1 #2</v>
      </c>
      <c r="N10" s="221" t="str" cm="1">
        <f t="array" aca="1" ref="N10" ca="1">IF(INDIRECT("'"&amp;B10&amp;"'!I"&amp;C10)=0,"N/A",INDIRECT("'"&amp;B10&amp;"'!I"&amp;C10))</f>
        <v xml:space="preserve">จัดให้มีกรรมการของผู้ประกอบธุรกิจ หรือที่ปรึกษาของผู้ประกอบธุรกิจ อย่างน้อย 1 ท่านที่มีความรู้หรือประสบการณ์ด้าน IT เพื่อให้คณะกรรมการสามารถกำหนดทิศทางและกำกับดูแลให้มีการใช้ IT ให้สอดรับกับกลยุทธ์ในการดำเนินธุรกิจ และบริหารจัดการด้าน IT Risk ได้อย่างมีประสิทธิภาพ </v>
      </c>
      <c r="O10" s="533" t="str" cm="1">
        <f t="array" aca="1" ref="O10" ca="1">IF(INDIRECT("'"&amp;B10&amp;"'!N"&amp;C10)=0,"N/A",INDIRECT("'"&amp;B10&amp;"'!N"&amp;C10))</f>
        <v>Yes/Partial/No</v>
      </c>
      <c r="P10" s="527" t="str" cm="1">
        <f t="array" aca="1" ref="P10" ca="1">IF(INDIRECT("'"&amp;B10&amp;"'!L"&amp;C10)=0,"",INDIRECT("'"&amp;B10&amp;"'!L"&amp;C10))</f>
        <v/>
      </c>
      <c r="Q10" s="527" t="str">
        <f t="shared" ca="1" si="0"/>
        <v/>
      </c>
      <c r="R10" s="563" t="str">
        <f t="shared" ca="1" si="1"/>
        <v>Yes</v>
      </c>
      <c r="S10" s="528" t="s">
        <v>1572</v>
      </c>
      <c r="T10" s="529" t="str">
        <f t="shared" si="2"/>
        <v>X</v>
      </c>
      <c r="U10" s="529" t="str">
        <f t="shared" si="3"/>
        <v/>
      </c>
      <c r="V10" s="529" t="str">
        <f t="shared" si="4"/>
        <v/>
      </c>
      <c r="W10" s="529" t="str">
        <f t="shared" si="5"/>
        <v/>
      </c>
      <c r="X10" s="529" t="str">
        <f t="shared" si="6"/>
        <v/>
      </c>
      <c r="Y10" s="529" t="str">
        <f t="shared" si="7"/>
        <v/>
      </c>
    </row>
    <row r="11" spans="1:25" ht="25.05" x14ac:dyDescent="0.2">
      <c r="A11" s="253" t="s">
        <v>266</v>
      </c>
      <c r="B11" s="253" t="s">
        <v>1569</v>
      </c>
      <c r="C11" s="253">
        <v>16</v>
      </c>
      <c r="D11" s="253" t="s">
        <v>1570</v>
      </c>
      <c r="E11" s="253">
        <v>1.2</v>
      </c>
      <c r="F11" s="253" t="s">
        <v>1574</v>
      </c>
      <c r="G11" s="215" t="str" cm="1">
        <f t="array" aca="1" ref="G11" ca="1">IF(INDIRECT("'"&amp;B11&amp;"'!B"&amp;C11)=0,"",INDIRECT("'"&amp;B11&amp;"'!B"&amp;C11))</f>
        <v>x</v>
      </c>
      <c r="H11" s="215" t="str" cm="1">
        <f t="array" aca="1" ref="H11" ca="1">IF(INDIRECT("'"&amp;B11&amp;"'!C"&amp;C11)=0,"",INDIRECT("'"&amp;B11&amp;"'!C"&amp;C11))</f>
        <v/>
      </c>
      <c r="I11" s="215" t="str" cm="1">
        <f t="array" aca="1" ref="I11" ca="1">IF(INDIRECT("'"&amp;B11&amp;"'!D"&amp;C11)=0,"",INDIRECT("'"&amp;B11&amp;"'!D"&amp;C11))</f>
        <v/>
      </c>
      <c r="J11" s="215" t="str" cm="1">
        <f t="array" aca="1" ref="J11" ca="1">IF(INDIRECT("'"&amp;B11&amp;"'!E"&amp;C11)=0,"",INDIRECT("'"&amp;B11&amp;"'!E"&amp;C11))</f>
        <v/>
      </c>
      <c r="K11" s="253" t="str" cm="1">
        <f t="array" aca="1" ref="K11" ca="1">IF(INDIRECT("'"&amp;B11&amp;"'!F"&amp;C11)=0,"N/A",INDIRECT("'"&amp;B11&amp;"'!F"&amp;C11))</f>
        <v>2.1</v>
      </c>
      <c r="L11" s="253" t="str" cm="1">
        <f t="array" aca="1" ref="L11" ca="1">IF(INDIRECT("'"&amp;B11&amp;"'!G"&amp;C11)=0,"N/A",INDIRECT("'"&amp;B11&amp;"'!G"&amp;C11))</f>
        <v>3</v>
      </c>
      <c r="M11" s="253" t="str" cm="1">
        <f t="array" aca="1" ref="M11" ca="1">IF(INDIRECT("'"&amp;B11&amp;"'!H"&amp;C11)=0,"N/A",INDIRECT("'"&amp;B11&amp;"'!H"&amp;C11))</f>
        <v>2.1 #3</v>
      </c>
      <c r="N11" s="221" t="str" cm="1">
        <f t="array" aca="1" ref="N11" ca="1">IF(INDIRECT("'"&amp;B11&amp;"'!I"&amp;C11)=0,"N/A",INDIRECT("'"&amp;B11&amp;"'!I"&amp;C11))</f>
        <v>จัดให้มีผู้บริหารระดับสูง(chief information security officer : CISO)หรือผู้บริหารที่รับผิดชอบในการบริหารจัดการความมั่นคงปลอดภัยด้าน IT มีคุณสมบัติและอำนาจหน้าที่ที่เหมาะสม</v>
      </c>
      <c r="O11" s="533" t="str" cm="1">
        <f t="array" aca="1" ref="O11" ca="1">IF(INDIRECT("'"&amp;B11&amp;"'!N"&amp;C11)=0,"N/A",INDIRECT("'"&amp;B11&amp;"'!N"&amp;C11))</f>
        <v>Yes/Partial/No</v>
      </c>
      <c r="P11" s="527" t="str" cm="1">
        <f t="array" aca="1" ref="P11" ca="1">IF(INDIRECT("'"&amp;B11&amp;"'!L"&amp;C11)=0,"",INDIRECT("'"&amp;B11&amp;"'!L"&amp;C11))</f>
        <v/>
      </c>
      <c r="Q11" s="527" t="str">
        <f t="shared" ca="1" si="0"/>
        <v/>
      </c>
      <c r="R11" s="563" t="str">
        <f t="shared" ca="1" si="1"/>
        <v>Yes</v>
      </c>
      <c r="S11" s="528" t="s">
        <v>1572</v>
      </c>
      <c r="T11" s="529" t="str">
        <f t="shared" si="2"/>
        <v>X</v>
      </c>
      <c r="U11" s="529" t="str">
        <f t="shared" si="3"/>
        <v/>
      </c>
      <c r="V11" s="529" t="str">
        <f t="shared" si="4"/>
        <v/>
      </c>
      <c r="W11" s="529" t="str">
        <f t="shared" si="5"/>
        <v/>
      </c>
      <c r="X11" s="529" t="str">
        <f t="shared" si="6"/>
        <v/>
      </c>
      <c r="Y11" s="529" t="str">
        <f t="shared" si="7"/>
        <v/>
      </c>
    </row>
    <row r="12" spans="1:25" x14ac:dyDescent="0.2">
      <c r="A12" s="253" t="s">
        <v>271</v>
      </c>
      <c r="B12" s="253" t="s">
        <v>1569</v>
      </c>
      <c r="C12" s="253">
        <v>17</v>
      </c>
      <c r="D12" s="253" t="s">
        <v>1570</v>
      </c>
      <c r="E12" s="253">
        <v>1.2</v>
      </c>
      <c r="F12" s="253" t="s">
        <v>1574</v>
      </c>
      <c r="G12" s="215" t="str" cm="1">
        <f t="array" aca="1" ref="G12" ca="1">IF(INDIRECT("'"&amp;B12&amp;"'!B"&amp;C12)=0,"",INDIRECT("'"&amp;B12&amp;"'!B"&amp;C12))</f>
        <v>x</v>
      </c>
      <c r="H12" s="215" t="str" cm="1">
        <f t="array" aca="1" ref="H12" ca="1">IF(INDIRECT("'"&amp;B12&amp;"'!C"&amp;C12)=0,"",INDIRECT("'"&amp;B12&amp;"'!C"&amp;C12))</f>
        <v/>
      </c>
      <c r="I12" s="215" t="str" cm="1">
        <f t="array" aca="1" ref="I12" ca="1">IF(INDIRECT("'"&amp;B12&amp;"'!D"&amp;C12)=0,"",INDIRECT("'"&amp;B12&amp;"'!D"&amp;C12))</f>
        <v/>
      </c>
      <c r="J12" s="215" t="str" cm="1">
        <f t="array" aca="1" ref="J12" ca="1">IF(INDIRECT("'"&amp;B12&amp;"'!E"&amp;C12)=0,"",INDIRECT("'"&amp;B12&amp;"'!E"&amp;C12))</f>
        <v/>
      </c>
      <c r="K12" s="253" t="str" cm="1">
        <f t="array" aca="1" ref="K12" ca="1">IF(INDIRECT("'"&amp;B12&amp;"'!F"&amp;C12)=0,"N/A",INDIRECT("'"&amp;B12&amp;"'!F"&amp;C12))</f>
        <v>2.1</v>
      </c>
      <c r="L12" s="253" t="str" cm="1">
        <f t="array" aca="1" ref="L12" ca="1">IF(INDIRECT("'"&amp;B12&amp;"'!G"&amp;C12)=0,"N/A",INDIRECT("'"&amp;B12&amp;"'!G"&amp;C12))</f>
        <v>4</v>
      </c>
      <c r="M12" s="253" t="str" cm="1">
        <f t="array" aca="1" ref="M12" ca="1">IF(INDIRECT("'"&amp;B12&amp;"'!H"&amp;C12)=0,"N/A",INDIRECT("'"&amp;B12&amp;"'!H"&amp;C12))</f>
        <v>2.1 #4</v>
      </c>
      <c r="N12" s="221" t="str" cm="1">
        <f t="array" aca="1" ref="N12" ca="1">IF(INDIRECT("'"&amp;B12&amp;"'!I"&amp;C12)=0,"N/A",INDIRECT("'"&amp;B12&amp;"'!I"&amp;C12))</f>
        <v xml:space="preserve">คณะกรรมการของผู้ประกอบธุรกิจอาจแต่งตั้งคณะกรรมการเพื่อทำหน้าที่ที่เกี่ยวข้องกับการกำกับดูแลด้าน IT Risk </v>
      </c>
      <c r="O12" s="533" t="str" cm="1">
        <f t="array" aca="1" ref="O12" ca="1">IF(INDIRECT("'"&amp;B12&amp;"'!N"&amp;C12)=0,"N/A",INDIRECT("'"&amp;B12&amp;"'!N"&amp;C12))</f>
        <v>Yes/Partial/No</v>
      </c>
      <c r="P12" s="527" t="str" cm="1">
        <f t="array" aca="1" ref="P12" ca="1">IF(INDIRECT("'"&amp;B12&amp;"'!L"&amp;C12)=0,"",INDIRECT("'"&amp;B12&amp;"'!L"&amp;C12))</f>
        <v/>
      </c>
      <c r="Q12" s="527" t="str">
        <f t="shared" ca="1" si="0"/>
        <v/>
      </c>
      <c r="R12" s="563" t="str">
        <f t="shared" ca="1" si="1"/>
        <v>Yes</v>
      </c>
      <c r="S12" s="528" t="s">
        <v>1572</v>
      </c>
      <c r="T12" s="529" t="str">
        <f t="shared" si="2"/>
        <v>X</v>
      </c>
      <c r="U12" s="529" t="str">
        <f t="shared" si="3"/>
        <v/>
      </c>
      <c r="V12" s="529" t="str">
        <f t="shared" si="4"/>
        <v/>
      </c>
      <c r="W12" s="529" t="str">
        <f t="shared" si="5"/>
        <v/>
      </c>
      <c r="X12" s="529" t="str">
        <f t="shared" si="6"/>
        <v/>
      </c>
      <c r="Y12" s="529" t="str">
        <f t="shared" si="7"/>
        <v/>
      </c>
    </row>
    <row r="13" spans="1:25" ht="37.6" x14ac:dyDescent="0.2">
      <c r="A13" s="253" t="s">
        <v>277</v>
      </c>
      <c r="B13" s="253" t="s">
        <v>1569</v>
      </c>
      <c r="C13" s="253">
        <v>19</v>
      </c>
      <c r="D13" s="253" t="s">
        <v>1570</v>
      </c>
      <c r="E13" s="253">
        <v>1.3</v>
      </c>
      <c r="F13" s="253" t="s">
        <v>1571</v>
      </c>
      <c r="G13" s="215" t="str" cm="1">
        <f t="array" aca="1" ref="G13" ca="1">IF(INDIRECT("'"&amp;B13&amp;"'!B"&amp;C13)=0,"",INDIRECT("'"&amp;B13&amp;"'!B"&amp;C13))</f>
        <v>x</v>
      </c>
      <c r="H13" s="215" t="str" cm="1">
        <f t="array" aca="1" ref="H13" ca="1">IF(INDIRECT("'"&amp;B13&amp;"'!C"&amp;C13)=0,"",INDIRECT("'"&amp;B13&amp;"'!C"&amp;C13))</f>
        <v>x</v>
      </c>
      <c r="I13" s="215" t="str" cm="1">
        <f t="array" aca="1" ref="I13" ca="1">IF(INDIRECT("'"&amp;B13&amp;"'!D"&amp;C13)=0,"",INDIRECT("'"&amp;B13&amp;"'!D"&amp;C13))</f>
        <v>x</v>
      </c>
      <c r="J13" s="215" t="str" cm="1">
        <f t="array" aca="1" ref="J13" ca="1">IF(INDIRECT("'"&amp;B13&amp;"'!E"&amp;C13)=0,"",INDIRECT("'"&amp;B13&amp;"'!E"&amp;C13))</f>
        <v/>
      </c>
      <c r="K13" s="253" t="str" cm="1">
        <f t="array" aca="1" ref="K13" ca="1">IF(INDIRECT("'"&amp;B13&amp;"'!F"&amp;C13)=0,"N/A",INDIRECT("'"&amp;B13&amp;"'!F"&amp;C13))</f>
        <v>2.2</v>
      </c>
      <c r="L13" s="253" t="str" cm="1">
        <f t="array" aca="1" ref="L13" ca="1">IF(INDIRECT("'"&amp;B13&amp;"'!G"&amp;C13)=0,"N/A",INDIRECT("'"&amp;B13&amp;"'!G"&amp;C13))</f>
        <v>N/A</v>
      </c>
      <c r="M13" s="253" t="str" cm="1">
        <f t="array" aca="1" ref="M13" ca="1">IF(INDIRECT("'"&amp;B13&amp;"'!H"&amp;C13)=0,"N/A",INDIRECT("'"&amp;B13&amp;"'!H"&amp;C13))</f>
        <v>2.2</v>
      </c>
      <c r="N13" s="221" t="str" cm="1">
        <f t="array" aca="1" ref="N13" ca="1">IF(INDIRECT("'"&amp;B13&amp;"'!I"&amp;C13)=0,"N/A",INDIRECT("'"&amp;B13&amp;"'!I"&amp;C13))</f>
        <v>มีการจัดทำนโยบายการบริหารจัดการด้าน IT Risk (IT risk management policy) เป็นลายลักษณ์อักษร โดยต้องได้รับความเห็นชอบจากคณะกรรมการของผู้ประกอบธุรกิจหรือคณะกรรมการที่ได้รับมอบหมายจากคณะกรรมการของผู้ประกอบธุรกิจ</v>
      </c>
      <c r="O13" s="533" t="str" cm="1">
        <f t="array" aca="1" ref="O13" ca="1">IF(INDIRECT("'"&amp;B13&amp;"'!N"&amp;C13)=0,"N/A",INDIRECT("'"&amp;B13&amp;"'!N"&amp;C13))</f>
        <v>Yes/Partial/No</v>
      </c>
      <c r="P13" s="527" t="str" cm="1">
        <f t="array" aca="1" ref="P13" ca="1">IF(INDIRECT("'"&amp;B13&amp;"'!L"&amp;C13)=0,"",INDIRECT("'"&amp;B13&amp;"'!L"&amp;C13))</f>
        <v/>
      </c>
      <c r="Q13" s="527" t="str">
        <f t="shared" ca="1" si="0"/>
        <v/>
      </c>
      <c r="R13" s="563" t="str">
        <f t="shared" ca="1" si="1"/>
        <v>Yes</v>
      </c>
      <c r="S13" s="528" t="s">
        <v>1572</v>
      </c>
      <c r="T13" s="529" t="str">
        <f t="shared" si="2"/>
        <v>X</v>
      </c>
      <c r="U13" s="529" t="str">
        <f t="shared" si="3"/>
        <v/>
      </c>
      <c r="V13" s="529" t="str">
        <f t="shared" si="4"/>
        <v/>
      </c>
      <c r="W13" s="529" t="str">
        <f t="shared" si="5"/>
        <v/>
      </c>
      <c r="X13" s="529" t="str">
        <f t="shared" si="6"/>
        <v/>
      </c>
      <c r="Y13" s="529" t="str">
        <f t="shared" si="7"/>
        <v/>
      </c>
    </row>
    <row r="14" spans="1:25" ht="62.65" x14ac:dyDescent="0.2">
      <c r="A14" s="253" t="s">
        <v>281</v>
      </c>
      <c r="B14" s="253" t="s">
        <v>1569</v>
      </c>
      <c r="C14" s="253">
        <v>20</v>
      </c>
      <c r="D14" s="253" t="s">
        <v>1570</v>
      </c>
      <c r="E14" s="253">
        <v>1.3</v>
      </c>
      <c r="F14" s="253" t="s">
        <v>1571</v>
      </c>
      <c r="G14" s="215" t="str" cm="1">
        <f t="array" aca="1" ref="G14" ca="1">IF(INDIRECT("'"&amp;B14&amp;"'!B"&amp;C14)=0,"",INDIRECT("'"&amp;B14&amp;"'!B"&amp;C14))</f>
        <v>x</v>
      </c>
      <c r="H14" s="215" t="str" cm="1">
        <f t="array" aca="1" ref="H14" ca="1">IF(INDIRECT("'"&amp;B14&amp;"'!C"&amp;C14)=0,"",INDIRECT("'"&amp;B14&amp;"'!C"&amp;C14))</f>
        <v>x</v>
      </c>
      <c r="I14" s="215" t="str" cm="1">
        <f t="array" aca="1" ref="I14" ca="1">IF(INDIRECT("'"&amp;B14&amp;"'!D"&amp;C14)=0,"",INDIRECT("'"&amp;B14&amp;"'!D"&amp;C14))</f>
        <v>x</v>
      </c>
      <c r="J14" s="215" t="str" cm="1">
        <f t="array" aca="1" ref="J14" ca="1">IF(INDIRECT("'"&amp;B14&amp;"'!E"&amp;C14)=0,"",INDIRECT("'"&amp;B14&amp;"'!E"&amp;C14))</f>
        <v/>
      </c>
      <c r="K14" s="253" t="str" cm="1">
        <f t="array" aca="1" ref="K14" ca="1">IF(INDIRECT("'"&amp;B14&amp;"'!F"&amp;C14)=0,"N/A",INDIRECT("'"&amp;B14&amp;"'!F"&amp;C14))</f>
        <v>2.2.1</v>
      </c>
      <c r="L14" s="253" t="str" cm="1">
        <f t="array" aca="1" ref="L14" ca="1">IF(INDIRECT("'"&amp;B14&amp;"'!G"&amp;C14)=0,"N/A",INDIRECT("'"&amp;B14&amp;"'!G"&amp;C14))</f>
        <v>N/A</v>
      </c>
      <c r="M14" s="253" t="str" cm="1">
        <f t="array" aca="1" ref="M14" ca="1">IF(INDIRECT("'"&amp;B14&amp;"'!H"&amp;C14)=0,"N/A",INDIRECT("'"&amp;B14&amp;"'!H"&amp;C14))</f>
        <v>2.2.1</v>
      </c>
      <c r="N14" s="221" t="str" cm="1">
        <f t="array" aca="1" ref="N14" ca="1">IF(INDIRECT("'"&amp;B14&amp;"'!I"&amp;C14)=0,"N/A",INDIRECT("'"&amp;B14&amp;"'!I"&amp;C14))</f>
        <v>มีการจัดทำนโยบายการบริหารจัดการด้าน IT Risk (IT risk management policy) เป็นลายลักษณ์อักษร โดยต้องได้รับความเห็นชอบจากคณะกรรมการของผู้ประกอบธุรกิจหรือคณะกรรมการที่ได้รับมอบหมายจากคณะกรรมการของผู้ประกอบธุรกิจ อย่างน้อยต้องครอบคลุมในเรื่องดังนี้
    (1) บทบาทหน้าที่ของผู้ที่เกี่ยวข้องในการบริหารจัดการด้าน IT Risk 
    (2) กระบวนการบริหารจัดการด้าน IT Risk เพื่อให้อยู่ในระดับที่องค์กรยอมรับได้</v>
      </c>
      <c r="O14" s="533" t="str" cm="1">
        <f t="array" aca="1" ref="O14" ca="1">IF(INDIRECT("'"&amp;B14&amp;"'!N"&amp;C14)=0,"N/A",INDIRECT("'"&amp;B14&amp;"'!N"&amp;C14))</f>
        <v>Yes/Partial/No</v>
      </c>
      <c r="P14" s="527" t="str" cm="1">
        <f t="array" aca="1" ref="P14" ca="1">IF(INDIRECT("'"&amp;B14&amp;"'!L"&amp;C14)=0,"",INDIRECT("'"&amp;B14&amp;"'!L"&amp;C14))</f>
        <v/>
      </c>
      <c r="Q14" s="527" t="str">
        <f t="shared" ca="1" si="0"/>
        <v/>
      </c>
      <c r="R14" s="563" t="str">
        <f t="shared" ca="1" si="1"/>
        <v>Yes</v>
      </c>
      <c r="S14" s="528" t="s">
        <v>1572</v>
      </c>
      <c r="T14" s="529" t="str">
        <f t="shared" si="2"/>
        <v>X</v>
      </c>
      <c r="U14" s="529" t="str">
        <f t="shared" si="3"/>
        <v/>
      </c>
      <c r="V14" s="529" t="str">
        <f t="shared" si="4"/>
        <v/>
      </c>
      <c r="W14" s="529" t="str">
        <f t="shared" si="5"/>
        <v/>
      </c>
      <c r="X14" s="529" t="str">
        <f t="shared" si="6"/>
        <v/>
      </c>
      <c r="Y14" s="529" t="str">
        <f t="shared" si="7"/>
        <v/>
      </c>
    </row>
    <row r="15" spans="1:25" ht="25.05" x14ac:dyDescent="0.2">
      <c r="A15" s="253" t="s">
        <v>285</v>
      </c>
      <c r="B15" s="253" t="s">
        <v>1569</v>
      </c>
      <c r="C15" s="253">
        <v>21</v>
      </c>
      <c r="D15" s="253" t="s">
        <v>1570</v>
      </c>
      <c r="E15" s="253">
        <v>1.3</v>
      </c>
      <c r="F15" s="253" t="s">
        <v>1571</v>
      </c>
      <c r="G15" s="215" t="str" cm="1">
        <f t="array" aca="1" ref="G15" ca="1">IF(INDIRECT("'"&amp;B15&amp;"'!B"&amp;C15)=0,"",INDIRECT("'"&amp;B15&amp;"'!B"&amp;C15))</f>
        <v>x</v>
      </c>
      <c r="H15" s="215" t="str" cm="1">
        <f t="array" aca="1" ref="H15" ca="1">IF(INDIRECT("'"&amp;B15&amp;"'!C"&amp;C15)=0,"",INDIRECT("'"&amp;B15&amp;"'!C"&amp;C15))</f>
        <v>x</v>
      </c>
      <c r="I15" s="215" t="str" cm="1">
        <f t="array" aca="1" ref="I15" ca="1">IF(INDIRECT("'"&amp;B15&amp;"'!D"&amp;C15)=0,"",INDIRECT("'"&amp;B15&amp;"'!D"&amp;C15))</f>
        <v>x</v>
      </c>
      <c r="J15" s="215" t="str" cm="1">
        <f t="array" aca="1" ref="J15" ca="1">IF(INDIRECT("'"&amp;B15&amp;"'!E"&amp;C15)=0,"",INDIRECT("'"&amp;B15&amp;"'!E"&amp;C15))</f>
        <v/>
      </c>
      <c r="K15" s="253" t="str" cm="1">
        <f t="array" aca="1" ref="K15" ca="1">IF(INDIRECT("'"&amp;B15&amp;"'!F"&amp;C15)=0,"N/A",INDIRECT("'"&amp;B15&amp;"'!F"&amp;C15))</f>
        <v>2.2.1(2)</v>
      </c>
      <c r="L15" s="253" t="str" cm="1">
        <f t="array" aca="1" ref="L15" ca="1">IF(INDIRECT("'"&amp;B15&amp;"'!G"&amp;C15)=0,"N/A",INDIRECT("'"&amp;B15&amp;"'!G"&amp;C15))</f>
        <v>1</v>
      </c>
      <c r="M15" s="253" t="str" cm="1">
        <f t="array" aca="1" ref="M15" ca="1">IF(INDIRECT("'"&amp;B15&amp;"'!H"&amp;C15)=0,"N/A",INDIRECT("'"&amp;B15&amp;"'!H"&amp;C15))</f>
        <v>2.2.1(2) #1</v>
      </c>
      <c r="N15" s="221" t="str" cm="1">
        <f t="array" aca="1" ref="N15" ca="1">IF(INDIRECT("'"&amp;B15&amp;"'!I"&amp;C15)=0,"N/A",INDIRECT("'"&amp;B15&amp;"'!I"&amp;C15))</f>
        <v xml:space="preserve">มีการจัดทำเกณฑ์ความเสี่ยง (risk criteria) ที่ครอบคลุมถึงโอกาสหรือความถี่ที่จะเกิดเหตุการณ์ความเสี่ยง  และความมีนัยสำคัญหรือผลกระทบที่จะเกิดขึ้นเพื่อจัดลำดับความสำคัญในการบริหารจัดการความเสี่ยง </v>
      </c>
      <c r="O15" s="533" t="str" cm="1">
        <f t="array" aca="1" ref="O15" ca="1">IF(INDIRECT("'"&amp;B15&amp;"'!N"&amp;C15)=0,"N/A",INDIRECT("'"&amp;B15&amp;"'!N"&amp;C15))</f>
        <v>Yes/Partial/No</v>
      </c>
      <c r="P15" s="527" t="str" cm="1">
        <f t="array" aca="1" ref="P15" ca="1">IF(INDIRECT("'"&amp;B15&amp;"'!L"&amp;C15)=0,"",INDIRECT("'"&amp;B15&amp;"'!L"&amp;C15))</f>
        <v/>
      </c>
      <c r="Q15" s="527" t="str">
        <f t="shared" ca="1" si="0"/>
        <v/>
      </c>
      <c r="R15" s="563" t="str">
        <f t="shared" ca="1" si="1"/>
        <v>Yes</v>
      </c>
      <c r="S15" s="528" t="s">
        <v>1572</v>
      </c>
      <c r="T15" s="529" t="str">
        <f t="shared" si="3"/>
        <v/>
      </c>
      <c r="U15" s="531"/>
      <c r="V15" s="529" t="str">
        <f t="shared" si="4"/>
        <v/>
      </c>
      <c r="W15" s="529" t="str">
        <f t="shared" si="5"/>
        <v/>
      </c>
      <c r="X15" s="529" t="str">
        <f t="shared" si="6"/>
        <v/>
      </c>
      <c r="Y15" s="529" t="str">
        <f t="shared" si="7"/>
        <v/>
      </c>
    </row>
    <row r="16" spans="1:25" ht="37.6" x14ac:dyDescent="0.2">
      <c r="A16" s="253" t="s">
        <v>290</v>
      </c>
      <c r="B16" s="253" t="s">
        <v>1569</v>
      </c>
      <c r="C16" s="253">
        <v>22</v>
      </c>
      <c r="D16" s="253" t="s">
        <v>1570</v>
      </c>
      <c r="E16" s="253">
        <v>1.3</v>
      </c>
      <c r="F16" s="253" t="s">
        <v>1571</v>
      </c>
      <c r="G16" s="215" t="str" cm="1">
        <f t="array" aca="1" ref="G16" ca="1">IF(INDIRECT("'"&amp;B16&amp;"'!B"&amp;C16)=0,"",INDIRECT("'"&amp;B16&amp;"'!B"&amp;C16))</f>
        <v>x</v>
      </c>
      <c r="H16" s="215" t="str" cm="1">
        <f t="array" aca="1" ref="H16" ca="1">IF(INDIRECT("'"&amp;B16&amp;"'!C"&amp;C16)=0,"",INDIRECT("'"&amp;B16&amp;"'!C"&amp;C16))</f>
        <v>x</v>
      </c>
      <c r="I16" s="215" t="str" cm="1">
        <f t="array" aca="1" ref="I16" ca="1">IF(INDIRECT("'"&amp;B16&amp;"'!D"&amp;C16)=0,"",INDIRECT("'"&amp;B16&amp;"'!D"&amp;C16))</f>
        <v>x</v>
      </c>
      <c r="J16" s="215" t="str" cm="1">
        <f t="array" aca="1" ref="J16" ca="1">IF(INDIRECT("'"&amp;B16&amp;"'!E"&amp;C16)=0,"",INDIRECT("'"&amp;B16&amp;"'!E"&amp;C16))</f>
        <v/>
      </c>
      <c r="K16" s="253" t="str" cm="1">
        <f t="array" aca="1" ref="K16" ca="1">IF(INDIRECT("'"&amp;B16&amp;"'!F"&amp;C16)=0,"N/A",INDIRECT("'"&amp;B16&amp;"'!F"&amp;C16))</f>
        <v>2.2.1(2)</v>
      </c>
      <c r="L16" s="253" t="str" cm="1">
        <f t="array" aca="1" ref="L16" ca="1">IF(INDIRECT("'"&amp;B16&amp;"'!G"&amp;C16)=0,"N/A",INDIRECT("'"&amp;B16&amp;"'!G"&amp;C16))</f>
        <v>2</v>
      </c>
      <c r="M16" s="253" t="str" cm="1">
        <f t="array" aca="1" ref="M16" ca="1">IF(INDIRECT("'"&amp;B16&amp;"'!H"&amp;C16)=0,"N/A",INDIRECT("'"&amp;B16&amp;"'!H"&amp;C16))</f>
        <v>2.2.1(2) #2</v>
      </c>
      <c r="N16" s="221" t="str" cm="1">
        <f t="array" aca="1" ref="N16" ca="1">IF(INDIRECT("'"&amp;B16&amp;"'!I"&amp;C16)=0,"N/A",INDIRECT("'"&amp;B16&amp;"'!I"&amp;C16))</f>
        <v>มีการกำหนดระดับความเสี่ยงที่ยอมรับได้ (IT risk appetite) ที่ผ่านการพิจารณาโดยคณะกรรมการบริหารความเสี่ยง (ถ้ามี) และได้รับการอนุมัติจากคณะกรรมการของผู้ประกอบธุรกิจ ทั้งนี้ ระดับความเสี่ยงที่ยอมรับได้ควรสอดคล้องกับการบริหารและจัดการความเสี่ยงขององค์กร (enterprise risk management) (ถ้ามี)</v>
      </c>
      <c r="O16" s="533" t="str" cm="1">
        <f t="array" aca="1" ref="O16" ca="1">IF(INDIRECT("'"&amp;B16&amp;"'!N"&amp;C16)=0,"N/A",INDIRECT("'"&amp;B16&amp;"'!N"&amp;C16))</f>
        <v>Yes/Partial/No</v>
      </c>
      <c r="P16" s="527" t="str" cm="1">
        <f t="array" aca="1" ref="P16" ca="1">IF(INDIRECT("'"&amp;B16&amp;"'!L"&amp;C16)=0,"",INDIRECT("'"&amp;B16&amp;"'!L"&amp;C16))</f>
        <v/>
      </c>
      <c r="Q16" s="527" t="str">
        <f t="shared" ca="1" si="0"/>
        <v/>
      </c>
      <c r="R16" s="563" t="str">
        <f t="shared" ca="1" si="1"/>
        <v>Yes</v>
      </c>
      <c r="S16" s="528" t="s">
        <v>1572</v>
      </c>
      <c r="T16" s="529" t="str">
        <f t="shared" si="2"/>
        <v>X</v>
      </c>
      <c r="U16" s="529" t="str">
        <f t="shared" si="3"/>
        <v/>
      </c>
      <c r="V16" s="529" t="str">
        <f t="shared" si="4"/>
        <v/>
      </c>
      <c r="W16" s="529" t="str">
        <f t="shared" si="5"/>
        <v/>
      </c>
      <c r="X16" s="529" t="str">
        <f t="shared" si="6"/>
        <v/>
      </c>
      <c r="Y16" s="529" t="str">
        <f t="shared" si="7"/>
        <v/>
      </c>
    </row>
    <row r="17" spans="1:25" ht="112.7" x14ac:dyDescent="0.2">
      <c r="A17" s="253" t="s">
        <v>294</v>
      </c>
      <c r="B17" s="253" t="s">
        <v>1569</v>
      </c>
      <c r="C17" s="253">
        <v>23</v>
      </c>
      <c r="D17" s="253" t="s">
        <v>1570</v>
      </c>
      <c r="E17" s="253">
        <v>1.3</v>
      </c>
      <c r="F17" s="253" t="s">
        <v>1571</v>
      </c>
      <c r="G17" s="215" t="str" cm="1">
        <f t="array" aca="1" ref="G17" ca="1">IF(INDIRECT("'"&amp;B17&amp;"'!B"&amp;C17)=0,"",INDIRECT("'"&amp;B17&amp;"'!B"&amp;C17))</f>
        <v>x</v>
      </c>
      <c r="H17" s="215" t="str" cm="1">
        <f t="array" aca="1" ref="H17" ca="1">IF(INDIRECT("'"&amp;B17&amp;"'!C"&amp;C17)=0,"",INDIRECT("'"&amp;B17&amp;"'!C"&amp;C17))</f>
        <v>x</v>
      </c>
      <c r="I17" s="215" t="str" cm="1">
        <f t="array" aca="1" ref="I17" ca="1">IF(INDIRECT("'"&amp;B17&amp;"'!D"&amp;C17)=0,"",INDIRECT("'"&amp;B17&amp;"'!D"&amp;C17))</f>
        <v>x</v>
      </c>
      <c r="J17" s="215" t="str" cm="1">
        <f t="array" aca="1" ref="J17" ca="1">IF(INDIRECT("'"&amp;B17&amp;"'!E"&amp;C17)=0,"",INDIRECT("'"&amp;B17&amp;"'!E"&amp;C17))</f>
        <v/>
      </c>
      <c r="K17" s="253" t="str" cm="1">
        <f t="array" aca="1" ref="K17" ca="1">IF(INDIRECT("'"&amp;B17&amp;"'!F"&amp;C17)=0,"N/A",INDIRECT("'"&amp;B17&amp;"'!F"&amp;C17))</f>
        <v>2.2.1(2)</v>
      </c>
      <c r="L17" s="253" t="str" cm="1">
        <f t="array" aca="1" ref="L17" ca="1">IF(INDIRECT("'"&amp;B17&amp;"'!G"&amp;C17)=0,"N/A",INDIRECT("'"&amp;B17&amp;"'!G"&amp;C17))</f>
        <v>3</v>
      </c>
      <c r="M17" s="253" t="str" cm="1">
        <f t="array" aca="1" ref="M17" ca="1">IF(INDIRECT("'"&amp;B17&amp;"'!H"&amp;C17)=0,"N/A",INDIRECT("'"&amp;B17&amp;"'!H"&amp;C17))</f>
        <v>2.2.1(2) #3</v>
      </c>
      <c r="N17" s="221" t="str" cm="1">
        <f t="array" aca="1" ref="N17" ca="1">IF(INDIRECT("'"&amp;B17&amp;"'!I"&amp;C17)=0,"N/A",INDIRECT("'"&amp;B17&amp;"'!I"&amp;C17))</f>
        <v xml:space="preserve"> มีการจัดทำกระบวนการบริหารจัดการด้าน IT Risk และมีการประเมินความเสี่ยงอย่างน้อยปีละ 1 ครั้ง และเมื่อมีการเปลี่ยนแปลงระบบ IT อย่างมีนัยสำคัญ โดยมีรายละเอียดอย่างน้อย ดังนี้
    (1) การระบุความเสี่ยง (risk identification)
    (2) การวิเคราะห์ความเสี่ยง (risk analysis)
    (3) การประเมินค่าความเสี่ยง (risk evaluation)
    (4) การจัดการความเสี่ยง (risk treatment)
    (5) การจัดทำทะเบียนความเสี่ยง (risk register)
    (6) การติดตามและทบทวนความเสี่ยง (risk monitor and review)
    (7) การรายงานความเสี่ยง (risk reporting)</v>
      </c>
      <c r="O17" s="533" t="str" cm="1">
        <f t="array" aca="1" ref="O17" ca="1">IF(INDIRECT("'"&amp;B17&amp;"'!N"&amp;C17)=0,"N/A",INDIRECT("'"&amp;B17&amp;"'!N"&amp;C17))</f>
        <v>Yes/Partial/No</v>
      </c>
      <c r="P17" s="527" t="str" cm="1">
        <f t="array" aca="1" ref="P17" ca="1">IF(INDIRECT("'"&amp;B17&amp;"'!L"&amp;C17)=0,"",INDIRECT("'"&amp;B17&amp;"'!L"&amp;C17))</f>
        <v/>
      </c>
      <c r="Q17" s="527" t="str">
        <f t="shared" ca="1" si="0"/>
        <v/>
      </c>
      <c r="R17" s="563" t="str">
        <f t="shared" ca="1" si="1"/>
        <v>Yes</v>
      </c>
      <c r="S17" s="528" t="s">
        <v>1572</v>
      </c>
      <c r="T17" s="529" t="str">
        <f t="shared" si="2"/>
        <v>X</v>
      </c>
      <c r="U17" s="529" t="str">
        <f t="shared" si="3"/>
        <v/>
      </c>
      <c r="V17" s="529" t="str">
        <f t="shared" si="4"/>
        <v/>
      </c>
      <c r="W17" s="529" t="str">
        <f t="shared" si="5"/>
        <v/>
      </c>
      <c r="X17" s="529" t="str">
        <f t="shared" si="6"/>
        <v/>
      </c>
      <c r="Y17" s="529" t="str">
        <f t="shared" si="7"/>
        <v/>
      </c>
    </row>
    <row r="18" spans="1:25" ht="75.150000000000006" x14ac:dyDescent="0.2">
      <c r="A18" s="253" t="s">
        <v>298</v>
      </c>
      <c r="B18" s="253" t="s">
        <v>1569</v>
      </c>
      <c r="C18" s="253">
        <v>24</v>
      </c>
      <c r="D18" s="253" t="s">
        <v>1570</v>
      </c>
      <c r="E18" s="253">
        <v>1.3</v>
      </c>
      <c r="F18" s="253" t="s">
        <v>1571</v>
      </c>
      <c r="G18" s="215" t="str" cm="1">
        <f t="array" aca="1" ref="G18" ca="1">IF(INDIRECT("'"&amp;B18&amp;"'!B"&amp;C18)=0,"",INDIRECT("'"&amp;B18&amp;"'!B"&amp;C18))</f>
        <v>x</v>
      </c>
      <c r="H18" s="215" t="str" cm="1">
        <f t="array" aca="1" ref="H18" ca="1">IF(INDIRECT("'"&amp;B18&amp;"'!C"&amp;C18)=0,"",INDIRECT("'"&amp;B18&amp;"'!C"&amp;C18))</f>
        <v>x</v>
      </c>
      <c r="I18" s="215" t="str" cm="1">
        <f t="array" aca="1" ref="I18" ca="1">IF(INDIRECT("'"&amp;B18&amp;"'!D"&amp;C18)=0,"",INDIRECT("'"&amp;B18&amp;"'!D"&amp;C18))</f>
        <v>x</v>
      </c>
      <c r="J18" s="215" t="str" cm="1">
        <f t="array" aca="1" ref="J18" ca="1">IF(INDIRECT("'"&amp;B18&amp;"'!E"&amp;C18)=0,"",INDIRECT("'"&amp;B18&amp;"'!E"&amp;C18))</f>
        <v/>
      </c>
      <c r="K18" s="253" t="str" cm="1">
        <f t="array" aca="1" ref="K18" ca="1">IF(INDIRECT("'"&amp;B18&amp;"'!F"&amp;C18)=0,"N/A",INDIRECT("'"&amp;B18&amp;"'!F"&amp;C18))</f>
        <v>2.2.1(2)</v>
      </c>
      <c r="L18" s="253" t="str" cm="1">
        <f t="array" aca="1" ref="L18" ca="1">IF(INDIRECT("'"&amp;B18&amp;"'!G"&amp;C18)=0,"N/A",INDIRECT("'"&amp;B18&amp;"'!G"&amp;C18))</f>
        <v>3</v>
      </c>
      <c r="M18" s="253" t="str" cm="1">
        <f t="array" aca="1" ref="M18" ca="1">IF(INDIRECT("'"&amp;B18&amp;"'!H"&amp;C18)=0,"N/A",INDIRECT("'"&amp;B18&amp;"'!H"&amp;C18))</f>
        <v>2.2.1(2) #3</v>
      </c>
      <c r="N18" s="221" t="str" cm="1">
        <f t="array" aca="1" ref="N18" ca="1">IF(INDIRECT("'"&amp;B18&amp;"'!I"&amp;C18)=0,"N/A",INDIRECT("'"&amp;B18&amp;"'!I"&amp;C18))</f>
        <v>การระบุความเสี่ยง (risk identification)
จัดให้มีการระบุเหตุการณ์ความเสี่ยง (risk scenario) ด้าน IT ที่อาจจะเกิดขึ้นหรือที่เคยเกิดขึ้นจริงกับผู้ประกอบธุรกิจเอง หรือเกิดกับผู้อื่นที่ใช้งาน IT ในลักษณะเดียวกัน รวมถึงภัยคุกคามทางไซเบอร์และช่องโหว่ต่าง ๆ ที่ส่งผลกระทบต่อการดำเนินธุรกิจ โดยเหตุการณ์ความเสี่ยงดังกล่าวอาจมีสาเหตุมาจากปัจจัยภายใน (internal factor) เช่น กระบวนการปฏิบัติงาน ระบบงาน บุคลากร เป็นต้น รวมถึงปัจจัยภายนอกอื่น ๆ (external factor) เช่น การปฏิบัติตามกฎหมาย การใช้บริการ การเชื่อมต่อ หรือการเข้าถึงข้อมูลจากบุคคลภายนอก เป็นต้น</v>
      </c>
      <c r="O18" s="533" t="str" cm="1">
        <f t="array" aca="1" ref="O18" ca="1">IF(INDIRECT("'"&amp;B18&amp;"'!N"&amp;C18)=0,"N/A",INDIRECT("'"&amp;B18&amp;"'!N"&amp;C18))</f>
        <v>Yes/Partial/No</v>
      </c>
      <c r="P18" s="527" t="str" cm="1">
        <f t="array" aca="1" ref="P18" ca="1">IF(INDIRECT("'"&amp;B18&amp;"'!L"&amp;C18)=0,"",INDIRECT("'"&amp;B18&amp;"'!L"&amp;C18))</f>
        <v/>
      </c>
      <c r="Q18" s="527" t="str">
        <f t="shared" ca="1" si="0"/>
        <v/>
      </c>
      <c r="R18" s="563" t="str">
        <f t="shared" ca="1" si="1"/>
        <v>Yes</v>
      </c>
      <c r="S18" s="528" t="s">
        <v>1575</v>
      </c>
      <c r="T18" s="529" t="str">
        <f t="shared" si="2"/>
        <v/>
      </c>
      <c r="U18" s="529" t="str">
        <f t="shared" si="3"/>
        <v>X</v>
      </c>
      <c r="V18" s="529" t="str">
        <f t="shared" si="4"/>
        <v/>
      </c>
      <c r="W18" s="529" t="str">
        <f t="shared" si="5"/>
        <v/>
      </c>
      <c r="X18" s="529" t="str">
        <f t="shared" si="6"/>
        <v/>
      </c>
      <c r="Y18" s="529" t="str">
        <f t="shared" si="7"/>
        <v/>
      </c>
    </row>
    <row r="19" spans="1:25" ht="87.65" x14ac:dyDescent="0.2">
      <c r="A19" s="253" t="s">
        <v>301</v>
      </c>
      <c r="B19" s="253" t="s">
        <v>1569</v>
      </c>
      <c r="C19" s="253">
        <v>25</v>
      </c>
      <c r="D19" s="253" t="s">
        <v>1570</v>
      </c>
      <c r="E19" s="253">
        <v>1.3</v>
      </c>
      <c r="F19" s="253" t="s">
        <v>1571</v>
      </c>
      <c r="G19" s="215" t="str" cm="1">
        <f t="array" aca="1" ref="G19" ca="1">IF(INDIRECT("'"&amp;B19&amp;"'!B"&amp;C19)=0,"",INDIRECT("'"&amp;B19&amp;"'!B"&amp;C19))</f>
        <v>x</v>
      </c>
      <c r="H19" s="215" t="str" cm="1">
        <f t="array" aca="1" ref="H19" ca="1">IF(INDIRECT("'"&amp;B19&amp;"'!C"&amp;C19)=0,"",INDIRECT("'"&amp;B19&amp;"'!C"&amp;C19))</f>
        <v>x</v>
      </c>
      <c r="I19" s="215" t="str" cm="1">
        <f t="array" aca="1" ref="I19" ca="1">IF(INDIRECT("'"&amp;B19&amp;"'!D"&amp;C19)=0,"",INDIRECT("'"&amp;B19&amp;"'!D"&amp;C19))</f>
        <v>x</v>
      </c>
      <c r="J19" s="215" t="str" cm="1">
        <f t="array" aca="1" ref="J19" ca="1">IF(INDIRECT("'"&amp;B19&amp;"'!E"&amp;C19)=0,"",INDIRECT("'"&amp;B19&amp;"'!E"&amp;C19))</f>
        <v/>
      </c>
      <c r="K19" s="253" t="str" cm="1">
        <f t="array" aca="1" ref="K19" ca="1">IF(INDIRECT("'"&amp;B19&amp;"'!F"&amp;C19)=0,"N/A",INDIRECT("'"&amp;B19&amp;"'!F"&amp;C19))</f>
        <v>2.2.1(2)</v>
      </c>
      <c r="L19" s="253" t="str" cm="1">
        <f t="array" aca="1" ref="L19" ca="1">IF(INDIRECT("'"&amp;B19&amp;"'!G"&amp;C19)=0,"N/A",INDIRECT("'"&amp;B19&amp;"'!G"&amp;C19))</f>
        <v>3</v>
      </c>
      <c r="M19" s="253" t="str" cm="1">
        <f t="array" aca="1" ref="M19" ca="1">IF(INDIRECT("'"&amp;B19&amp;"'!H"&amp;C19)=0,"N/A",INDIRECT("'"&amp;B19&amp;"'!H"&amp;C19))</f>
        <v>2.2.1(2) #3</v>
      </c>
      <c r="N19" s="221" t="str" cm="1">
        <f t="array" aca="1" ref="N19" ca="1">IF(INDIRECT("'"&amp;B19&amp;"'!I"&amp;C19)=0,"N/A",INDIRECT("'"&amp;B19&amp;"'!I"&amp;C19))</f>
        <v>การวิเคราะห์ความเสี่ยง (risk analysis)
จัดให้มีการวิเคราะห์ IT Risk เพื่อหาแนวทางในการจัดการความเสี่ยงอย่างเหมาะสม โดยครอบคลุมการดำเนินการอย่างน้อย ดังนี้
    (1) กำหนดผู้รับผิดชอบต่อความเสี่ยง หรือเจ้าของความเสี่ยง (risk owner)
    (2) ระบุการควบคุมที่มีอยู่ในปัจจุบัน (existing control)
    (3) วิเคราะห์โอกาสหรือความถี่ที่จะเกิดเหตุการณ์ความเสี่ยง (likelihood) และความมีนัยสำคัญหรือผลกระทบที่จะเกิดขึ้น (potential impact) จากเหตุการณ์ดังกล่าว</v>
      </c>
      <c r="O19" s="533" t="str" cm="1">
        <f t="array" aca="1" ref="O19" ca="1">IF(INDIRECT("'"&amp;B19&amp;"'!N"&amp;C19)=0,"N/A",INDIRECT("'"&amp;B19&amp;"'!N"&amp;C19))</f>
        <v>Yes/Partial/No</v>
      </c>
      <c r="P19" s="527" t="str" cm="1">
        <f t="array" aca="1" ref="P19" ca="1">IF(INDIRECT("'"&amp;B19&amp;"'!L"&amp;C19)=0,"",INDIRECT("'"&amp;B19&amp;"'!L"&amp;C19))</f>
        <v/>
      </c>
      <c r="Q19" s="527" t="str">
        <f t="shared" ca="1" si="0"/>
        <v/>
      </c>
      <c r="R19" s="563" t="str">
        <f t="shared" ca="1" si="1"/>
        <v>Yes</v>
      </c>
      <c r="S19" s="528" t="s">
        <v>1575</v>
      </c>
      <c r="T19" s="529" t="str">
        <f t="shared" si="2"/>
        <v/>
      </c>
      <c r="U19" s="529" t="str">
        <f t="shared" si="3"/>
        <v>X</v>
      </c>
      <c r="V19" s="529" t="str">
        <f t="shared" si="4"/>
        <v/>
      </c>
      <c r="W19" s="529" t="str">
        <f t="shared" si="5"/>
        <v/>
      </c>
      <c r="X19" s="529" t="str">
        <f t="shared" si="6"/>
        <v/>
      </c>
      <c r="Y19" s="529" t="str">
        <f t="shared" si="7"/>
        <v/>
      </c>
    </row>
    <row r="20" spans="1:25" ht="87.65" x14ac:dyDescent="0.2">
      <c r="A20" s="253" t="s">
        <v>304</v>
      </c>
      <c r="B20" s="253" t="s">
        <v>1569</v>
      </c>
      <c r="C20" s="253">
        <v>26</v>
      </c>
      <c r="D20" s="253" t="s">
        <v>1570</v>
      </c>
      <c r="E20" s="253">
        <v>1.3</v>
      </c>
      <c r="F20" s="253" t="s">
        <v>1571</v>
      </c>
      <c r="G20" s="215" t="str" cm="1">
        <f t="array" aca="1" ref="G20" ca="1">IF(INDIRECT("'"&amp;B20&amp;"'!B"&amp;C20)=0,"",INDIRECT("'"&amp;B20&amp;"'!B"&amp;C20))</f>
        <v>x</v>
      </c>
      <c r="H20" s="215" t="str" cm="1">
        <f t="array" aca="1" ref="H20" ca="1">IF(INDIRECT("'"&amp;B20&amp;"'!C"&amp;C20)=0,"",INDIRECT("'"&amp;B20&amp;"'!C"&amp;C20))</f>
        <v>x</v>
      </c>
      <c r="I20" s="215" t="str" cm="1">
        <f t="array" aca="1" ref="I20" ca="1">IF(INDIRECT("'"&amp;B20&amp;"'!D"&amp;C20)=0,"",INDIRECT("'"&amp;B20&amp;"'!D"&amp;C20))</f>
        <v>x</v>
      </c>
      <c r="J20" s="215" t="str" cm="1">
        <f t="array" aca="1" ref="J20" ca="1">IF(INDIRECT("'"&amp;B20&amp;"'!E"&amp;C20)=0,"",INDIRECT("'"&amp;B20&amp;"'!E"&amp;C20))</f>
        <v/>
      </c>
      <c r="K20" s="253" t="str" cm="1">
        <f t="array" aca="1" ref="K20" ca="1">IF(INDIRECT("'"&amp;B20&amp;"'!F"&amp;C20)=0,"N/A",INDIRECT("'"&amp;B20&amp;"'!F"&amp;C20))</f>
        <v>2.2.1(2)</v>
      </c>
      <c r="L20" s="253" t="str" cm="1">
        <f t="array" aca="1" ref="L20" ca="1">IF(INDIRECT("'"&amp;B20&amp;"'!G"&amp;C20)=0,"N/A",INDIRECT("'"&amp;B20&amp;"'!G"&amp;C20))</f>
        <v>3</v>
      </c>
      <c r="M20" s="253" t="str" cm="1">
        <f t="array" aca="1" ref="M20" ca="1">IF(INDIRECT("'"&amp;B20&amp;"'!H"&amp;C20)=0,"N/A",INDIRECT("'"&amp;B20&amp;"'!H"&amp;C20))</f>
        <v>2.2.1(2) #3</v>
      </c>
      <c r="N20" s="221" t="str" cm="1">
        <f t="array" aca="1" ref="N20" ca="1">IF(INDIRECT("'"&amp;B20&amp;"'!I"&amp;C20)=0,"N/A",INDIRECT("'"&amp;B20&amp;"'!I"&amp;C20))</f>
        <v>การประเมินค่าความเสี่ยง (risk evaluation) 
จัดให้มีประเมินค่า IT Risk เพื่อจัดลำดับในการบริหารความเสี่ยงอย่างเหมาะสม โดยครอบคลุมการดำเนินการอย่างน้อย ดังนี้
    (1) ประเมินผลลัพธ์ที่ได้จากการวิเคราะห์ความเสี่ยง ได้แก่ ค่าโอกาสและผลกระทบ (likelihood และ potential impact) กับเกณฑ์ความเสี่ยง (risk criteria) ที่กำหนดไว้ เพื่อระบุระดับค่าความเสี่ยงของแต่ละเหตุการณ์ด้าน IT Risk
    (2) จัดลำดับด้าน IT Risk</v>
      </c>
      <c r="O20" s="533" t="str" cm="1">
        <f t="array" aca="1" ref="O20" ca="1">IF(INDIRECT("'"&amp;B20&amp;"'!N"&amp;C20)=0,"N/A",INDIRECT("'"&amp;B20&amp;"'!N"&amp;C20))</f>
        <v>Yes/Partial/No</v>
      </c>
      <c r="P20" s="527" t="str" cm="1">
        <f t="array" aca="1" ref="P20" ca="1">IF(INDIRECT("'"&amp;B20&amp;"'!L"&amp;C20)=0,"",INDIRECT("'"&amp;B20&amp;"'!L"&amp;C20))</f>
        <v/>
      </c>
      <c r="Q20" s="527" t="str">
        <f t="shared" ca="1" si="0"/>
        <v/>
      </c>
      <c r="R20" s="563" t="str">
        <f t="shared" ca="1" si="1"/>
        <v>Yes</v>
      </c>
      <c r="S20" s="528" t="s">
        <v>1575</v>
      </c>
      <c r="T20" s="529" t="str">
        <f>IF(ISNUMBER(SEARCH("(GV)",$S20)),"X","")</f>
        <v/>
      </c>
      <c r="U20" s="529" t="str">
        <f t="shared" si="3"/>
        <v>X</v>
      </c>
      <c r="V20" s="529" t="str">
        <f t="shared" si="4"/>
        <v/>
      </c>
      <c r="W20" s="529" t="str">
        <f t="shared" si="5"/>
        <v/>
      </c>
      <c r="X20" s="529" t="str">
        <f t="shared" si="6"/>
        <v/>
      </c>
      <c r="Y20" s="529" t="str">
        <f t="shared" si="7"/>
        <v/>
      </c>
    </row>
    <row r="21" spans="1:25" ht="50.1" x14ac:dyDescent="0.2">
      <c r="A21" s="253" t="s">
        <v>307</v>
      </c>
      <c r="B21" s="253" t="s">
        <v>1569</v>
      </c>
      <c r="C21" s="253">
        <v>27</v>
      </c>
      <c r="D21" s="253" t="s">
        <v>1570</v>
      </c>
      <c r="E21" s="253">
        <v>1.3</v>
      </c>
      <c r="F21" s="253" t="s">
        <v>1574</v>
      </c>
      <c r="G21" s="215" t="str" cm="1">
        <f t="array" aca="1" ref="G21" ca="1">IF(INDIRECT("'"&amp;B21&amp;"'!B"&amp;C21)=0,"",INDIRECT("'"&amp;B21&amp;"'!B"&amp;C21))</f>
        <v>x</v>
      </c>
      <c r="H21" s="215" t="str" cm="1">
        <f t="array" aca="1" ref="H21" ca="1">IF(INDIRECT("'"&amp;B21&amp;"'!C"&amp;C21)=0,"",INDIRECT("'"&amp;B21&amp;"'!C"&amp;C21))</f>
        <v/>
      </c>
      <c r="I21" s="215" t="str" cm="1">
        <f t="array" aca="1" ref="I21" ca="1">IF(INDIRECT("'"&amp;B21&amp;"'!D"&amp;C21)=0,"",INDIRECT("'"&amp;B21&amp;"'!D"&amp;C21))</f>
        <v/>
      </c>
      <c r="J21" s="215" t="str" cm="1">
        <f t="array" aca="1" ref="J21" ca="1">IF(INDIRECT("'"&amp;B21&amp;"'!E"&amp;C21)=0,"",INDIRECT("'"&amp;B21&amp;"'!E"&amp;C21))</f>
        <v/>
      </c>
      <c r="K21" s="253" t="str" cm="1">
        <f t="array" aca="1" ref="K21" ca="1">IF(INDIRECT("'"&amp;B21&amp;"'!F"&amp;C21)=0,"N/A",INDIRECT("'"&amp;B21&amp;"'!F"&amp;C21))</f>
        <v>2.2.1(2)</v>
      </c>
      <c r="L21" s="253" t="str" cm="1">
        <f t="array" aca="1" ref="L21" ca="1">IF(INDIRECT("'"&amp;B21&amp;"'!G"&amp;C21)=0,"N/A",INDIRECT("'"&amp;B21&amp;"'!G"&amp;C21))</f>
        <v>4</v>
      </c>
      <c r="M21" s="253" t="str" cm="1">
        <f t="array" aca="1" ref="M21" ca="1">IF(INDIRECT("'"&amp;B21&amp;"'!H"&amp;C21)=0,"N/A",INDIRECT("'"&amp;B21&amp;"'!H"&amp;C21))</f>
        <v>2.2.1(2) #4</v>
      </c>
      <c r="N21" s="221" t="str" cm="1">
        <f t="array" aca="1" ref="N21" ca="1">IF(INDIRECT("'"&amp;B21&amp;"'!I"&amp;C21)=0,"N/A",INDIRECT("'"&amp;B21&amp;"'!I"&amp;C21))</f>
        <v>มีการประเมินด้าน IT Risk ให้เท่าทันต่อการเปลี่ยนแปลงความเสี่ยงขององค์กร (company risk profile) อันอาจจะเกิดจากปัจจัยทั้งภายในและภายนอกองค์กร เช่น การออกผลิตภัณฑ์ใหม่ การเปลี่ยนแปลงมาตรฐานและข้อกำหนดทางด้าน IT ในอุตสาหกรรม หรือการตรวจพบหรือมีข้อบ่งชี้ด้านความเสี่ยงทางด้าน  IT ใหม่เกิดขึ้น เป็นต้น</v>
      </c>
      <c r="O21" s="533" t="str" cm="1">
        <f t="array" aca="1" ref="O21" ca="1">IF(INDIRECT("'"&amp;B21&amp;"'!N"&amp;C21)=0,"N/A",INDIRECT("'"&amp;B21&amp;"'!N"&amp;C21))</f>
        <v>Yes/Partial/No</v>
      </c>
      <c r="P21" s="527" t="str" cm="1">
        <f t="array" aca="1" ref="P21" ca="1">IF(INDIRECT("'"&amp;B21&amp;"'!L"&amp;C21)=0,"",INDIRECT("'"&amp;B21&amp;"'!L"&amp;C21))</f>
        <v/>
      </c>
      <c r="Q21" s="527" t="str">
        <f t="shared" ca="1" si="0"/>
        <v/>
      </c>
      <c r="R21" s="563" t="str">
        <f t="shared" ca="1" si="1"/>
        <v>Yes</v>
      </c>
      <c r="S21" s="528" t="s">
        <v>1576</v>
      </c>
      <c r="T21" s="529" t="str">
        <f t="shared" si="2"/>
        <v>X</v>
      </c>
      <c r="U21" s="529" t="str">
        <f t="shared" si="3"/>
        <v>X</v>
      </c>
      <c r="V21" s="529" t="str">
        <f t="shared" si="4"/>
        <v/>
      </c>
      <c r="W21" s="529" t="str">
        <f t="shared" si="5"/>
        <v/>
      </c>
      <c r="X21" s="529" t="str">
        <f t="shared" si="6"/>
        <v/>
      </c>
      <c r="Y21" s="529" t="str">
        <f t="shared" si="7"/>
        <v/>
      </c>
    </row>
    <row r="22" spans="1:25" ht="150.30000000000001" x14ac:dyDescent="0.2">
      <c r="A22" s="253" t="s">
        <v>311</v>
      </c>
      <c r="B22" s="253" t="s">
        <v>1569</v>
      </c>
      <c r="C22" s="253">
        <v>28</v>
      </c>
      <c r="D22" s="253" t="s">
        <v>1570</v>
      </c>
      <c r="E22" s="253">
        <v>1.3</v>
      </c>
      <c r="F22" s="253" t="s">
        <v>1571</v>
      </c>
      <c r="G22" s="215" t="str" cm="1">
        <f t="array" aca="1" ref="G22" ca="1">IF(INDIRECT("'"&amp;B22&amp;"'!B"&amp;C22)=0,"",INDIRECT("'"&amp;B22&amp;"'!B"&amp;C22))</f>
        <v>x</v>
      </c>
      <c r="H22" s="215" t="str" cm="1">
        <f t="array" aca="1" ref="H22" ca="1">IF(INDIRECT("'"&amp;B22&amp;"'!C"&amp;C22)=0,"",INDIRECT("'"&amp;B22&amp;"'!C"&amp;C22))</f>
        <v>x</v>
      </c>
      <c r="I22" s="215" t="str" cm="1">
        <f t="array" aca="1" ref="I22" ca="1">IF(INDIRECT("'"&amp;B22&amp;"'!D"&amp;C22)=0,"",INDIRECT("'"&amp;B22&amp;"'!D"&amp;C22))</f>
        <v>x</v>
      </c>
      <c r="J22" s="215" t="str" cm="1">
        <f t="array" aca="1" ref="J22" ca="1">IF(INDIRECT("'"&amp;B22&amp;"'!E"&amp;C22)=0,"",INDIRECT("'"&amp;B22&amp;"'!E"&amp;C22))</f>
        <v/>
      </c>
      <c r="K22" s="253" t="str" cm="1">
        <f t="array" aca="1" ref="K22" ca="1">IF(INDIRECT("'"&amp;B22&amp;"'!F"&amp;C22)=0,"N/A",INDIRECT("'"&amp;B22&amp;"'!F"&amp;C22))</f>
        <v>2.2.1(2)</v>
      </c>
      <c r="L22" s="253" t="str" cm="1">
        <f t="array" aca="1" ref="L22" ca="1">IF(INDIRECT("'"&amp;B22&amp;"'!G"&amp;C22)=0,"N/A",INDIRECT("'"&amp;B22&amp;"'!G"&amp;C22))</f>
        <v>5</v>
      </c>
      <c r="M22" s="253" t="str" cm="1">
        <f t="array" aca="1" ref="M22" ca="1">IF(INDIRECT("'"&amp;B22&amp;"'!H"&amp;C22)=0,"N/A",INDIRECT("'"&amp;B22&amp;"'!H"&amp;C22))</f>
        <v>2.2.1(2) #5</v>
      </c>
      <c r="N22" s="221" t="str" cm="1">
        <f t="array" aca="1" ref="N22" ca="1">IF(INDIRECT("'"&amp;B22&amp;"'!I"&amp;C22)=0,"N/A",INDIRECT("'"&amp;B22&amp;"'!I"&amp;C22))</f>
        <v>การจัดการความเสี่ยง (risk treatment) 
มีการกำหนดให้มีแนวทางในการจัดการด้าน IT Risk อย่างเหมาะสมและสอดคล้องกับผลการประเมินความเสี่ยง (risk assessment) เพื่อให้ความเสี่ยงที่เหลืออยู่ (residual risk) อยู่ในระดับความเสี่ยงที่ยอมรับได้ (risk appetite) โดยครอบคลุมการดำเนินการอย่างน้อย ดังนี้
    (1) การกำหนดแนวทางในการจัดการความเสี่ยง โดยพิจารณาถึงความคุ้มค่าและวิธีการที่เหมาะสมกับผู้ประกอบธุรกิจ เช่น การหยุดหรือหลีกเลี่ยงความเสี่ยง (risk avoidance) การลดหรือบรรเทาความเสี่ยง (risk mitigation) การโอนย้ายความเสี่ยงให้กับผู้อื่น (risk transference) และการยอมรับความเสี่ยงโดยการเสนอเหตุผลผู้บริหารเพื่อตัดสินใจ (risk acceptance) เป็นต้น
    (2) การระบุรายละเอียดของงานที่ต้องดำเนินการ ผู้รับผิดชอบ และระยะเวลาที่ใช้ในการดำเนินการ
    (3) การประเมินระดับค่าความเสี่ยงที่เหลืออยู่ (residual risk) ว่าอยู่ในระดับความเสี่ยงที่ยอมรับได้
    (4) การขออนุมัติแผนการบริหารจัดการความเสี่ยงจากคณะกรรมการหรือผู้บริหารระดับสูงที่ได้รับมอบหมาย
    (5) การสื่อสารแผนการบริหารจัดการความเสี่ยงให้ผู้ที่เกี่ยวข้องรับทราบ</v>
      </c>
      <c r="O22" s="533" t="str" cm="1">
        <f t="array" aca="1" ref="O22" ca="1">IF(INDIRECT("'"&amp;B22&amp;"'!N"&amp;C22)=0,"N/A",INDIRECT("'"&amp;B22&amp;"'!N"&amp;C22))</f>
        <v>Yes/Partial/No</v>
      </c>
      <c r="P22" s="527" t="str" cm="1">
        <f t="array" aca="1" ref="P22" ca="1">IF(INDIRECT("'"&amp;B22&amp;"'!L"&amp;C22)=0,"",INDIRECT("'"&amp;B22&amp;"'!L"&amp;C22))</f>
        <v/>
      </c>
      <c r="Q22" s="527" t="str">
        <f t="shared" ca="1" si="0"/>
        <v/>
      </c>
      <c r="R22" s="563" t="str">
        <f t="shared" ca="1" si="1"/>
        <v>Yes</v>
      </c>
      <c r="S22" s="528" t="s">
        <v>1576</v>
      </c>
      <c r="T22" s="529" t="str">
        <f t="shared" si="2"/>
        <v>X</v>
      </c>
      <c r="U22" s="529" t="str">
        <f t="shared" si="3"/>
        <v>X</v>
      </c>
      <c r="V22" s="529" t="str">
        <f t="shared" si="4"/>
        <v/>
      </c>
      <c r="W22" s="529" t="str">
        <f t="shared" si="5"/>
        <v/>
      </c>
      <c r="X22" s="529" t="str">
        <f t="shared" si="6"/>
        <v/>
      </c>
      <c r="Y22" s="529" t="str">
        <f t="shared" si="7"/>
        <v/>
      </c>
    </row>
    <row r="23" spans="1:25" ht="137.75" x14ac:dyDescent="0.2">
      <c r="A23" s="253" t="s">
        <v>316</v>
      </c>
      <c r="B23" s="253" t="s">
        <v>1569</v>
      </c>
      <c r="C23" s="253">
        <v>29</v>
      </c>
      <c r="D23" s="253" t="s">
        <v>1570</v>
      </c>
      <c r="E23" s="253">
        <v>1.3</v>
      </c>
      <c r="F23" s="253" t="s">
        <v>1571</v>
      </c>
      <c r="G23" s="215" t="str" cm="1">
        <f t="array" aca="1" ref="G23" ca="1">IF(INDIRECT("'"&amp;B23&amp;"'!B"&amp;C23)=0,"",INDIRECT("'"&amp;B23&amp;"'!B"&amp;C23))</f>
        <v>x</v>
      </c>
      <c r="H23" s="215" t="str" cm="1">
        <f t="array" aca="1" ref="H23" ca="1">IF(INDIRECT("'"&amp;B23&amp;"'!C"&amp;C23)=0,"",INDIRECT("'"&amp;B23&amp;"'!C"&amp;C23))</f>
        <v>x</v>
      </c>
      <c r="I23" s="215" t="str" cm="1">
        <f t="array" aca="1" ref="I23" ca="1">IF(INDIRECT("'"&amp;B23&amp;"'!D"&amp;C23)=0,"",INDIRECT("'"&amp;B23&amp;"'!D"&amp;C23))</f>
        <v>x</v>
      </c>
      <c r="J23" s="215" t="str" cm="1">
        <f t="array" aca="1" ref="J23" ca="1">IF(INDIRECT("'"&amp;B23&amp;"'!E"&amp;C23)=0,"",INDIRECT("'"&amp;B23&amp;"'!E"&amp;C23))</f>
        <v/>
      </c>
      <c r="K23" s="253" t="str" cm="1">
        <f t="array" aca="1" ref="K23" ca="1">IF(INDIRECT("'"&amp;B23&amp;"'!F"&amp;C23)=0,"N/A",INDIRECT("'"&amp;B23&amp;"'!F"&amp;C23))</f>
        <v>2.2.1(2)</v>
      </c>
      <c r="L23" s="253" t="str" cm="1">
        <f t="array" aca="1" ref="L23" ca="1">IF(INDIRECT("'"&amp;B23&amp;"'!G"&amp;C23)=0,"N/A",INDIRECT("'"&amp;B23&amp;"'!G"&amp;C23))</f>
        <v>6</v>
      </c>
      <c r="M23" s="253" t="str" cm="1">
        <f t="array" aca="1" ref="M23" ca="1">IF(INDIRECT("'"&amp;B23&amp;"'!H"&amp;C23)=0,"N/A",INDIRECT("'"&amp;B23&amp;"'!H"&amp;C23))</f>
        <v>2.2.1(2) #6</v>
      </c>
      <c r="N23" s="221" t="str" cm="1">
        <f t="array" aca="1" ref="N23" ca="1">IF(INDIRECT("'"&amp;B23&amp;"'!I"&amp;C23)=0,"N/A",INDIRECT("'"&amp;B23&amp;"'!I"&amp;C23))</f>
        <v>การจัดทำทะเบียนความเสี่ยง (risk register) ควรจัดให้มีทะเบียนความเสี่ยง (risk register) เพื่อบันทึกผลการประเมินความเสี่ยง และแนวทางในการจัดการความเสี่ยง โดยมีตัวอย่างรายละเอียด ดังนี้
    (1) วันที่ประเมินความเสี่ยง
    (2) รายละเอียดเหตุการณ์ความเสี่ยง
    (3) โอกาสหรือความถี่ที่จะเกิดเหตุการณ์ความเสี่ยง (likelihood)
    (4) ความมีนัยสำคัญหรือผลกระทบที่จะเกิดขึ้น (potential impact)
    (5) ระดับค่าความเสี่ยงก่อนการควบคุม (inherent risk)
    (6) แนวทางจัดการความเสี่ยง (risk treatment)
    (7) เจ้าของความเสี่ยง (risk owner)
    (8) ระดับความเสี่ยงที่เหลืออยู่ (residual risk)
    (9) สถานะของการจัดการความเสี่ยง (status of risk treatment)</v>
      </c>
      <c r="O23" s="533" t="str" cm="1">
        <f t="array" aca="1" ref="O23" ca="1">IF(INDIRECT("'"&amp;B23&amp;"'!N"&amp;C23)=0,"N/A",INDIRECT("'"&amp;B23&amp;"'!N"&amp;C23))</f>
        <v>Yes/Partial/No</v>
      </c>
      <c r="P23" s="527" t="str" cm="1">
        <f t="array" aca="1" ref="P23" ca="1">IF(INDIRECT("'"&amp;B23&amp;"'!L"&amp;C23)=0,"",INDIRECT("'"&amp;B23&amp;"'!L"&amp;C23))</f>
        <v/>
      </c>
      <c r="Q23" s="527" t="str">
        <f t="shared" ca="1" si="0"/>
        <v/>
      </c>
      <c r="R23" s="563" t="str">
        <f t="shared" ca="1" si="1"/>
        <v>Yes</v>
      </c>
      <c r="S23" s="528" t="s">
        <v>1575</v>
      </c>
      <c r="T23" s="529" t="str">
        <f t="shared" si="2"/>
        <v/>
      </c>
      <c r="U23" s="529" t="str">
        <f t="shared" si="3"/>
        <v>X</v>
      </c>
      <c r="V23" s="529" t="str">
        <f t="shared" si="4"/>
        <v/>
      </c>
      <c r="W23" s="529" t="str">
        <f t="shared" si="5"/>
        <v/>
      </c>
      <c r="X23" s="529" t="str">
        <f t="shared" si="6"/>
        <v/>
      </c>
      <c r="Y23" s="529" t="str">
        <f t="shared" si="7"/>
        <v/>
      </c>
    </row>
    <row r="24" spans="1:25" ht="75.150000000000006" x14ac:dyDescent="0.2">
      <c r="A24" s="253" t="s">
        <v>321</v>
      </c>
      <c r="B24" s="253" t="s">
        <v>1569</v>
      </c>
      <c r="C24" s="253">
        <v>30</v>
      </c>
      <c r="D24" s="253" t="s">
        <v>1570</v>
      </c>
      <c r="E24" s="253">
        <v>1.3</v>
      </c>
      <c r="F24" s="253" t="s">
        <v>1571</v>
      </c>
      <c r="G24" s="215" t="str" cm="1">
        <f t="array" aca="1" ref="G24" ca="1">IF(INDIRECT("'"&amp;B24&amp;"'!B"&amp;C24)=0,"",INDIRECT("'"&amp;B24&amp;"'!B"&amp;C24))</f>
        <v>x</v>
      </c>
      <c r="H24" s="215" t="str" cm="1">
        <f t="array" aca="1" ref="H24" ca="1">IF(INDIRECT("'"&amp;B24&amp;"'!C"&amp;C24)=0,"",INDIRECT("'"&amp;B24&amp;"'!C"&amp;C24))</f>
        <v>x</v>
      </c>
      <c r="I24" s="215" t="str" cm="1">
        <f t="array" aca="1" ref="I24" ca="1">IF(INDIRECT("'"&amp;B24&amp;"'!D"&amp;C24)=0,"",INDIRECT("'"&amp;B24&amp;"'!D"&amp;C24))</f>
        <v>x</v>
      </c>
      <c r="J24" s="215" t="str" cm="1">
        <f t="array" aca="1" ref="J24" ca="1">IF(INDIRECT("'"&amp;B24&amp;"'!E"&amp;C24)=0,"",INDIRECT("'"&amp;B24&amp;"'!E"&amp;C24))</f>
        <v/>
      </c>
      <c r="K24" s="253" t="str" cm="1">
        <f t="array" aca="1" ref="K24" ca="1">IF(INDIRECT("'"&amp;B24&amp;"'!F"&amp;C24)=0,"N/A",INDIRECT("'"&amp;B24&amp;"'!F"&amp;C24))</f>
        <v>2.2.1(2)</v>
      </c>
      <c r="L24" s="253" t="str" cm="1">
        <f t="array" aca="1" ref="L24" ca="1">IF(INDIRECT("'"&amp;B24&amp;"'!G"&amp;C24)=0,"N/A",INDIRECT("'"&amp;B24&amp;"'!G"&amp;C24))</f>
        <v>7</v>
      </c>
      <c r="M24" s="253" t="str" cm="1">
        <f t="array" aca="1" ref="M24" ca="1">IF(INDIRECT("'"&amp;B24&amp;"'!H"&amp;C24)=0,"N/A",INDIRECT("'"&amp;B24&amp;"'!H"&amp;C24))</f>
        <v>2.2.1(2) #7</v>
      </c>
      <c r="N24" s="221" t="str" cm="1">
        <f t="array" aca="1" ref="N24" ca="1">IF(INDIRECT("'"&amp;B24&amp;"'!I"&amp;C24)=0,"N/A",INDIRECT("'"&amp;B24&amp;"'!I"&amp;C24))</f>
        <v>การติดตามและทบทวนความเสี่ยง (risk monitor and review) ควรจัดให้มีกระบวนการติดตามและทบทวน IT Risk โดยครอบคลุมการดำเนินการ ดังนี้
    (1) การกำหนดผู้รับผิดชอบในการติดตามและทบทวนความเสี่ยง
    (2) การกำหนดดัชนีชี้วัดด้าน IT Risk ที่สำคัญ (IT key risk indicator) เพื่อให้สามารถติดตามแนวโน้มของ ความเสี่ยง และสามารถทบทวนมาตรการควบคุมความเสี่ยงได้อย่างมีประสิทธิภาพ
    (3) การติดตามความคืบหน้าของการดำเนินงานตามแผนการบริหารจัดการด้าน IT Risk</v>
      </c>
      <c r="O24" s="533" t="str" cm="1">
        <f t="array" aca="1" ref="O24" ca="1">IF(INDIRECT("'"&amp;B24&amp;"'!N"&amp;C24)=0,"N/A",INDIRECT("'"&amp;B24&amp;"'!N"&amp;C24))</f>
        <v>Yes/Partial/No</v>
      </c>
      <c r="P24" s="527" t="str" cm="1">
        <f t="array" aca="1" ref="P24" ca="1">IF(INDIRECT("'"&amp;B24&amp;"'!L"&amp;C24)=0,"",INDIRECT("'"&amp;B24&amp;"'!L"&amp;C24))</f>
        <v/>
      </c>
      <c r="Q24" s="527" t="str">
        <f t="shared" ca="1" si="0"/>
        <v/>
      </c>
      <c r="R24" s="563" t="str">
        <f t="shared" ca="1" si="1"/>
        <v>Yes</v>
      </c>
      <c r="S24" s="528" t="s">
        <v>1575</v>
      </c>
      <c r="T24" s="529" t="str">
        <f t="shared" si="2"/>
        <v/>
      </c>
      <c r="U24" s="529" t="str">
        <f t="shared" si="3"/>
        <v>X</v>
      </c>
      <c r="V24" s="529" t="str">
        <f t="shared" si="4"/>
        <v/>
      </c>
      <c r="W24" s="529" t="str">
        <f t="shared" si="5"/>
        <v/>
      </c>
      <c r="X24" s="529" t="str">
        <f t="shared" si="6"/>
        <v/>
      </c>
      <c r="Y24" s="529" t="str">
        <f t="shared" si="7"/>
        <v/>
      </c>
    </row>
    <row r="25" spans="1:25" ht="25.05" x14ac:dyDescent="0.2">
      <c r="A25" s="253" t="s">
        <v>326</v>
      </c>
      <c r="B25" s="253" t="s">
        <v>1569</v>
      </c>
      <c r="C25" s="253">
        <v>31</v>
      </c>
      <c r="D25" s="253" t="s">
        <v>1570</v>
      </c>
      <c r="E25" s="253">
        <v>1.3</v>
      </c>
      <c r="F25" s="253" t="s">
        <v>1571</v>
      </c>
      <c r="G25" s="215" t="str" cm="1">
        <f t="array" aca="1" ref="G25" ca="1">IF(INDIRECT("'"&amp;B25&amp;"'!B"&amp;C25)=0,"",INDIRECT("'"&amp;B25&amp;"'!B"&amp;C25))</f>
        <v>x</v>
      </c>
      <c r="H25" s="215" t="str" cm="1">
        <f t="array" aca="1" ref="H25" ca="1">IF(INDIRECT("'"&amp;B25&amp;"'!C"&amp;C25)=0,"",INDIRECT("'"&amp;B25&amp;"'!C"&amp;C25))</f>
        <v>x</v>
      </c>
      <c r="I25" s="215" t="str" cm="1">
        <f t="array" aca="1" ref="I25" ca="1">IF(INDIRECT("'"&amp;B25&amp;"'!D"&amp;C25)=0,"",INDIRECT("'"&amp;B25&amp;"'!D"&amp;C25))</f>
        <v>x</v>
      </c>
      <c r="J25" s="215" t="str" cm="1">
        <f t="array" aca="1" ref="J25" ca="1">IF(INDIRECT("'"&amp;B25&amp;"'!E"&amp;C25)=0,"",INDIRECT("'"&amp;B25&amp;"'!E"&amp;C25))</f>
        <v/>
      </c>
      <c r="K25" s="253" t="str" cm="1">
        <f t="array" aca="1" ref="K25" ca="1">IF(INDIRECT("'"&amp;B25&amp;"'!F"&amp;C25)=0,"N/A",INDIRECT("'"&amp;B25&amp;"'!F"&amp;C25))</f>
        <v>2.2.1(2)</v>
      </c>
      <c r="L25" s="253" t="str" cm="1">
        <f t="array" aca="1" ref="L25" ca="1">IF(INDIRECT("'"&amp;B25&amp;"'!G"&amp;C25)=0,"N/A",INDIRECT("'"&amp;B25&amp;"'!G"&amp;C25))</f>
        <v>8</v>
      </c>
      <c r="M25" s="253" t="str" cm="1">
        <f t="array" aca="1" ref="M25" ca="1">IF(INDIRECT("'"&amp;B25&amp;"'!H"&amp;C25)=0,"N/A",INDIRECT("'"&amp;B25&amp;"'!H"&amp;C25))</f>
        <v>2.2.1(2) #8</v>
      </c>
      <c r="N25" s="221" t="str" cm="1">
        <f t="array" aca="1" ref="N25" ca="1">IF(INDIRECT("'"&amp;B25&amp;"'!I"&amp;C25)=0,"N/A",INDIRECT("'"&amp;B25&amp;"'!I"&amp;C25))</f>
        <v>การรายงานความเสี่ยง (risk reporting) ควรจัดให้มีการรายงานผลการประเมิน IT Risk และผลการบริหารจัดการ IT Risk ต่อคณะกรรมการของผู้ประกอบธุรกิจอย่างน้อยปีละ 1 ครั้ง</v>
      </c>
      <c r="O25" s="533" t="str" cm="1">
        <f t="array" aca="1" ref="O25" ca="1">IF(INDIRECT("'"&amp;B25&amp;"'!N"&amp;C25)=0,"N/A",INDIRECT("'"&amp;B25&amp;"'!N"&amp;C25))</f>
        <v>Yes/Partial/No</v>
      </c>
      <c r="P25" s="527" t="str" cm="1">
        <f t="array" aca="1" ref="P25" ca="1">IF(INDIRECT("'"&amp;B25&amp;"'!L"&amp;C25)=0,"",INDIRECT("'"&amp;B25&amp;"'!L"&amp;C25))</f>
        <v/>
      </c>
      <c r="Q25" s="527" t="str">
        <f t="shared" ca="1" si="0"/>
        <v/>
      </c>
      <c r="R25" s="563" t="str">
        <f t="shared" ca="1" si="1"/>
        <v>Yes</v>
      </c>
      <c r="S25" s="528" t="s">
        <v>1575</v>
      </c>
      <c r="T25" s="529" t="str">
        <f t="shared" si="2"/>
        <v/>
      </c>
      <c r="U25" s="529" t="str">
        <f t="shared" si="3"/>
        <v>X</v>
      </c>
      <c r="V25" s="529" t="str">
        <f t="shared" si="4"/>
        <v/>
      </c>
      <c r="W25" s="529" t="str">
        <f t="shared" si="5"/>
        <v/>
      </c>
      <c r="X25" s="529" t="str">
        <f t="shared" si="6"/>
        <v/>
      </c>
      <c r="Y25" s="529" t="str">
        <f t="shared" si="7"/>
        <v/>
      </c>
    </row>
    <row r="26" spans="1:25" ht="162.80000000000001" x14ac:dyDescent="0.2">
      <c r="A26" s="253" t="s">
        <v>331</v>
      </c>
      <c r="B26" s="253" t="s">
        <v>1569</v>
      </c>
      <c r="C26" s="253">
        <v>32</v>
      </c>
      <c r="D26" s="253" t="s">
        <v>1570</v>
      </c>
      <c r="E26" s="253">
        <v>1.3</v>
      </c>
      <c r="F26" s="253" t="s">
        <v>1571</v>
      </c>
      <c r="G26" s="215" t="str" cm="1">
        <f t="array" aca="1" ref="G26" ca="1">IF(INDIRECT("'"&amp;B26&amp;"'!B"&amp;C26)=0,"",INDIRECT("'"&amp;B26&amp;"'!B"&amp;C26))</f>
        <v>x</v>
      </c>
      <c r="H26" s="215" t="str" cm="1">
        <f t="array" aca="1" ref="H26" ca="1">IF(INDIRECT("'"&amp;B26&amp;"'!C"&amp;C26)=0,"",INDIRECT("'"&amp;B26&amp;"'!C"&amp;C26))</f>
        <v>x</v>
      </c>
      <c r="I26" s="215" t="str" cm="1">
        <f t="array" aca="1" ref="I26" ca="1">IF(INDIRECT("'"&amp;B26&amp;"'!D"&amp;C26)=0,"",INDIRECT("'"&amp;B26&amp;"'!D"&amp;C26))</f>
        <v>x</v>
      </c>
      <c r="J26" s="215" t="str" cm="1">
        <f t="array" aca="1" ref="J26" ca="1">IF(INDIRECT("'"&amp;B26&amp;"'!E"&amp;C26)=0,"",INDIRECT("'"&amp;B26&amp;"'!E"&amp;C26))</f>
        <v/>
      </c>
      <c r="K26" s="253" t="str" cm="1">
        <f t="array" aca="1" ref="K26" ca="1">IF(INDIRECT("'"&amp;B26&amp;"'!F"&amp;C26)=0,"N/A",INDIRECT("'"&amp;B26&amp;"'!F"&amp;C26))</f>
        <v>2.2.2</v>
      </c>
      <c r="L26" s="253" t="str" cm="1">
        <f t="array" aca="1" ref="L26" ca="1">IF(INDIRECT("'"&amp;B26&amp;"'!G"&amp;C26)=0,"N/A",INDIRECT("'"&amp;B26&amp;"'!G"&amp;C26))</f>
        <v>N/A</v>
      </c>
      <c r="M26" s="253" t="str" cm="1">
        <f t="array" aca="1" ref="M26" ca="1">IF(INDIRECT("'"&amp;B26&amp;"'!H"&amp;C26)=0,"N/A",INDIRECT("'"&amp;B26&amp;"'!H"&amp;C26))</f>
        <v>2.2.2</v>
      </c>
      <c r="N26" s="221" t="str" cm="1">
        <f t="array" aca="1" ref="N26" ca="1">IF(INDIRECT("'"&amp;B26&amp;"'!I"&amp;C26)=0,"N/A",INDIRECT("'"&amp;B26&amp;"'!I"&amp;C26))</f>
        <v xml:space="preserve">นโยบายการรักษาความมั่นคงปลอดภัยด้าน IT (IT security policy) อย่างน้อยต้องครอบคลุมในเรื่องดังนี้
    (1) โครงสร้างการบริหารงานเพื่อการรักษาความมั่นคงปลอดภัยด้าน IT 
    (2) การบริหารจัดการบุคลากรที่ปฏิบัติงานด้าน IT หรือบุคคลภายนอก
    (3) การบริหารจัดการทรัพย์สินด้าน IT 
    (4) การรักษาความมั่นคงปลอดภัยของข้อมูล 
    (5) การควบคุมการเข้าถึงและระบบ IT
    (6) การควบคุมการเข้ารหัส 
    (7) การรักษาความมั่นคงปลอดภัยทางกายภาพและสภาพแวดล้อม 
    (8) มาตรการรักษาความมั่นคงปลอดภัยในการปฏิบัติงานด้าน IT 
    (9) มาตรการรักษาความมั่นคงปลอดภัยเกี่ยวกับระบบเครือข่ายสื่อสาร 
    (10) การบริหารจัดการโครงการด้าน IT และการจัดหา พัฒนาและบำรุงรักษาระบบ IT
    (11) การบริหารจัดการเหตุการณ์ผิดปกติด้าน IT และปัญหาด้าน IT
    (12) การจัดทำแผนฉุกเฉินด้าน IT </v>
      </c>
      <c r="O26" s="533" t="str" cm="1">
        <f t="array" aca="1" ref="O26" ca="1">IF(INDIRECT("'"&amp;B26&amp;"'!N"&amp;C26)=0,"N/A",INDIRECT("'"&amp;B26&amp;"'!N"&amp;C26))</f>
        <v>Yes/Partial/No</v>
      </c>
      <c r="P26" s="527" t="str" cm="1">
        <f t="array" aca="1" ref="P26" ca="1">IF(INDIRECT("'"&amp;B26&amp;"'!L"&amp;C26)=0,"",INDIRECT("'"&amp;B26&amp;"'!L"&amp;C26))</f>
        <v/>
      </c>
      <c r="Q26" s="527" t="str">
        <f t="shared" ca="1" si="0"/>
        <v/>
      </c>
      <c r="R26" s="563" t="str">
        <f t="shared" ca="1" si="1"/>
        <v>Yes</v>
      </c>
      <c r="S26" s="528" t="s">
        <v>1572</v>
      </c>
      <c r="T26" s="529" t="str">
        <f t="shared" si="2"/>
        <v>X</v>
      </c>
      <c r="U26" s="529" t="str">
        <f t="shared" si="3"/>
        <v/>
      </c>
      <c r="V26" s="529" t="str">
        <f t="shared" si="4"/>
        <v/>
      </c>
      <c r="W26" s="529" t="str">
        <f t="shared" si="5"/>
        <v/>
      </c>
      <c r="X26" s="529" t="str">
        <f t="shared" si="6"/>
        <v/>
      </c>
      <c r="Y26" s="529" t="str">
        <f t="shared" si="7"/>
        <v/>
      </c>
    </row>
    <row r="27" spans="1:25" ht="62.65" x14ac:dyDescent="0.2">
      <c r="A27" s="253" t="s">
        <v>335</v>
      </c>
      <c r="B27" s="253" t="s">
        <v>1569</v>
      </c>
      <c r="C27" s="253">
        <v>33</v>
      </c>
      <c r="D27" s="253" t="s">
        <v>1570</v>
      </c>
      <c r="E27" s="253">
        <v>1.3</v>
      </c>
      <c r="F27" s="253" t="s">
        <v>1571</v>
      </c>
      <c r="G27" s="215" t="str" cm="1">
        <f t="array" aca="1" ref="G27" ca="1">IF(INDIRECT("'"&amp;B27&amp;"'!B"&amp;C27)=0,"",INDIRECT("'"&amp;B27&amp;"'!B"&amp;C27))</f>
        <v>x</v>
      </c>
      <c r="H27" s="215" t="str" cm="1">
        <f t="array" aca="1" ref="H27" ca="1">IF(INDIRECT("'"&amp;B27&amp;"'!C"&amp;C27)=0,"",INDIRECT("'"&amp;B27&amp;"'!C"&amp;C27))</f>
        <v>x</v>
      </c>
      <c r="I27" s="215" t="str" cm="1">
        <f t="array" aca="1" ref="I27" ca="1">IF(INDIRECT("'"&amp;B27&amp;"'!D"&amp;C27)=0,"",INDIRECT("'"&amp;B27&amp;"'!D"&amp;C27))</f>
        <v>x</v>
      </c>
      <c r="J27" s="215" t="str" cm="1">
        <f t="array" aca="1" ref="J27" ca="1">IF(INDIRECT("'"&amp;B27&amp;"'!E"&amp;C27)=0,"",INDIRECT("'"&amp;B27&amp;"'!E"&amp;C27))</f>
        <v/>
      </c>
      <c r="K27" s="253" t="str" cm="1">
        <f t="array" aca="1" ref="K27" ca="1">IF(INDIRECT("'"&amp;B27&amp;"'!F"&amp;C27)=0,"N/A",INDIRECT("'"&amp;B27&amp;"'!F"&amp;C27))</f>
        <v>2.3.1</v>
      </c>
      <c r="L27" s="253" t="str" cm="1">
        <f t="array" aca="1" ref="L27" ca="1">IF(INDIRECT("'"&amp;B27&amp;"'!G"&amp;C27)=0,"N/A",INDIRECT("'"&amp;B27&amp;"'!G"&amp;C27))</f>
        <v>1</v>
      </c>
      <c r="M27" s="253" t="str" cm="1">
        <f t="array" aca="1" ref="M27" ca="1">IF(INDIRECT("'"&amp;B27&amp;"'!H"&amp;C27)=0,"N/A",INDIRECT("'"&amp;B27&amp;"'!H"&amp;C27))</f>
        <v>2.3.1 #1</v>
      </c>
      <c r="N27" s="221" t="str" cm="1">
        <f t="array" aca="1" ref="N27" ca="1">IF(INDIRECT("'"&amp;B27&amp;"'!I"&amp;C27)=0,"N/A",INDIRECT("'"&amp;B27&amp;"'!I"&amp;C27))</f>
        <v>มีกระบวนการสื่อสารสร้างความตระหนักและทราบถึงนโยบายการบริหารจัดการ IT Risk และนโยบายการรักษาความมั่นคงปลอดภัยด้าน IT ของบริษัท เพื่อให้มั่นใจว่าพนักงานในบริษัท รวมถึงผู้ที่เกี่ยวข้องรับทราบตามบทบาทหน้าที่ ความรับผิดชอบ และสิทธิการเข้าถึงข้อมูล ในลักษณะที่สามารถเข้าถึงได้ง่าย และจะปฏิบัติตามนโยบายดังกล่าว ของบริษัท เช่น การลงนามรับทราบ การอบรม หรือ การตอบรับต่างๆ ให้แก่บุคคลที่เกี่ยวข้องรับทราบ</v>
      </c>
      <c r="O27" s="533" t="str" cm="1">
        <f t="array" aca="1" ref="O27" ca="1">IF(INDIRECT("'"&amp;B27&amp;"'!N"&amp;C27)=0,"N/A",INDIRECT("'"&amp;B27&amp;"'!N"&amp;C27))</f>
        <v>Yes/Partial/No</v>
      </c>
      <c r="P27" s="527" t="str" cm="1">
        <f t="array" aca="1" ref="P27" ca="1">IF(INDIRECT("'"&amp;B27&amp;"'!L"&amp;C27)=0,"",INDIRECT("'"&amp;B27&amp;"'!L"&amp;C27))</f>
        <v/>
      </c>
      <c r="Q27" s="527" t="str">
        <f t="shared" ca="1" si="0"/>
        <v/>
      </c>
      <c r="R27" s="563" t="str">
        <f t="shared" ca="1" si="1"/>
        <v>Yes</v>
      </c>
      <c r="S27" s="528" t="s">
        <v>1572</v>
      </c>
      <c r="T27" s="529" t="str">
        <f t="shared" si="2"/>
        <v>X</v>
      </c>
      <c r="U27" s="529" t="str">
        <f t="shared" si="3"/>
        <v/>
      </c>
      <c r="V27" s="529" t="str">
        <f t="shared" si="4"/>
        <v/>
      </c>
      <c r="W27" s="529" t="str">
        <f t="shared" si="5"/>
        <v/>
      </c>
      <c r="X27" s="529" t="str">
        <f t="shared" si="6"/>
        <v/>
      </c>
      <c r="Y27" s="529" t="str">
        <f t="shared" si="7"/>
        <v/>
      </c>
    </row>
    <row r="28" spans="1:25" ht="25.05" x14ac:dyDescent="0.2">
      <c r="A28" s="253" t="s">
        <v>340</v>
      </c>
      <c r="B28" s="253" t="s">
        <v>1569</v>
      </c>
      <c r="C28" s="253">
        <v>34</v>
      </c>
      <c r="D28" s="253" t="s">
        <v>1570</v>
      </c>
      <c r="E28" s="253">
        <v>1.3</v>
      </c>
      <c r="F28" s="253" t="s">
        <v>1571</v>
      </c>
      <c r="G28" s="215" t="str" cm="1">
        <f t="array" aca="1" ref="G28" ca="1">IF(INDIRECT("'"&amp;B28&amp;"'!B"&amp;C28)=0,"",INDIRECT("'"&amp;B28&amp;"'!B"&amp;C28))</f>
        <v>x</v>
      </c>
      <c r="H28" s="215" t="str" cm="1">
        <f t="array" aca="1" ref="H28" ca="1">IF(INDIRECT("'"&amp;B28&amp;"'!C"&amp;C28)=0,"",INDIRECT("'"&amp;B28&amp;"'!C"&amp;C28))</f>
        <v>x</v>
      </c>
      <c r="I28" s="215" t="str" cm="1">
        <f t="array" aca="1" ref="I28" ca="1">IF(INDIRECT("'"&amp;B28&amp;"'!D"&amp;C28)=0,"",INDIRECT("'"&amp;B28&amp;"'!D"&amp;C28))</f>
        <v>x</v>
      </c>
      <c r="J28" s="215" t="str" cm="1">
        <f t="array" aca="1" ref="J28" ca="1">IF(INDIRECT("'"&amp;B28&amp;"'!E"&amp;C28)=0,"",INDIRECT("'"&amp;B28&amp;"'!E"&amp;C28))</f>
        <v/>
      </c>
      <c r="K28" s="253" t="str" cm="1">
        <f t="array" aca="1" ref="K28" ca="1">IF(INDIRECT("'"&amp;B28&amp;"'!F"&amp;C28)=0,"N/A",INDIRECT("'"&amp;B28&amp;"'!F"&amp;C28))</f>
        <v>2.3.1</v>
      </c>
      <c r="L28" s="253" t="str" cm="1">
        <f t="array" aca="1" ref="L28" ca="1">IF(INDIRECT("'"&amp;B28&amp;"'!G"&amp;C28)=0,"N/A",INDIRECT("'"&amp;B28&amp;"'!G"&amp;C28))</f>
        <v>1</v>
      </c>
      <c r="M28" s="253" t="str" cm="1">
        <f t="array" aca="1" ref="M28" ca="1">IF(INDIRECT("'"&amp;B28&amp;"'!H"&amp;C28)=0,"N/A",INDIRECT("'"&amp;B28&amp;"'!H"&amp;C28))</f>
        <v>2.3.1 #1</v>
      </c>
      <c r="N28" s="221" t="str" cm="1">
        <f t="array" aca="1" ref="N28" ca="1">IF(INDIRECT("'"&amp;B28&amp;"'!I"&amp;C28)=0,"N/A",INDIRECT("'"&amp;B28&amp;"'!I"&amp;C28))</f>
        <v>สื่อสารนโยบายให้กับบุคคลภายนอก โดยพิจารณาถึงรายละเอียดที่บุคคลภายนอกควรรู้เพื่อให้สามารถปฏิบัติงานได้สอดคล้องกับนโยบายของผู้ประกอบธุรกิจ โดยคำนึงถึงความลับของการเปิดเผยข้อมูลด้วย</v>
      </c>
      <c r="O28" s="533" t="str" cm="1">
        <f t="array" aca="1" ref="O28" ca="1">IF(INDIRECT("'"&amp;B28&amp;"'!N"&amp;C28)=0,"N/A",INDIRECT("'"&amp;B28&amp;"'!N"&amp;C28))</f>
        <v>Yes/Partial/No</v>
      </c>
      <c r="P28" s="527" t="str" cm="1">
        <f t="array" aca="1" ref="P28" ca="1">IF(INDIRECT("'"&amp;B28&amp;"'!L"&amp;C28)=0,"",INDIRECT("'"&amp;B28&amp;"'!L"&amp;C28))</f>
        <v/>
      </c>
      <c r="Q28" s="527" t="str">
        <f t="shared" ca="1" si="0"/>
        <v/>
      </c>
      <c r="R28" s="563" t="str">
        <f t="shared" ca="1" si="1"/>
        <v>Yes</v>
      </c>
      <c r="S28" s="528" t="s">
        <v>1572</v>
      </c>
      <c r="T28" s="529" t="str">
        <f t="shared" si="2"/>
        <v>X</v>
      </c>
      <c r="U28" s="529" t="str">
        <f t="shared" si="3"/>
        <v/>
      </c>
      <c r="V28" s="529" t="str">
        <f t="shared" si="4"/>
        <v/>
      </c>
      <c r="W28" s="529" t="str">
        <f t="shared" si="5"/>
        <v/>
      </c>
      <c r="X28" s="529" t="str">
        <f t="shared" si="6"/>
        <v/>
      </c>
      <c r="Y28" s="529" t="str">
        <f t="shared" si="7"/>
        <v/>
      </c>
    </row>
    <row r="29" spans="1:25" ht="50.1" x14ac:dyDescent="0.2">
      <c r="A29" s="253" t="s">
        <v>343</v>
      </c>
      <c r="B29" s="253" t="s">
        <v>1569</v>
      </c>
      <c r="C29" s="253">
        <v>35</v>
      </c>
      <c r="D29" s="253" t="s">
        <v>1570</v>
      </c>
      <c r="E29" s="253">
        <v>1.3</v>
      </c>
      <c r="F29" s="253" t="s">
        <v>1571</v>
      </c>
      <c r="G29" s="215" t="str" cm="1">
        <f t="array" aca="1" ref="G29" ca="1">IF(INDIRECT("'"&amp;B29&amp;"'!B"&amp;C29)=0,"",INDIRECT("'"&amp;B29&amp;"'!B"&amp;C29))</f>
        <v>x</v>
      </c>
      <c r="H29" s="215" t="str" cm="1">
        <f t="array" aca="1" ref="H29" ca="1">IF(INDIRECT("'"&amp;B29&amp;"'!C"&amp;C29)=0,"",INDIRECT("'"&amp;B29&amp;"'!C"&amp;C29))</f>
        <v>x</v>
      </c>
      <c r="I29" s="215" t="str" cm="1">
        <f t="array" aca="1" ref="I29" ca="1">IF(INDIRECT("'"&amp;B29&amp;"'!D"&amp;C29)=0,"",INDIRECT("'"&amp;B29&amp;"'!D"&amp;C29))</f>
        <v>x</v>
      </c>
      <c r="J29" s="215" t="str" cm="1">
        <f t="array" aca="1" ref="J29" ca="1">IF(INDIRECT("'"&amp;B29&amp;"'!E"&amp;C29)=0,"",INDIRECT("'"&amp;B29&amp;"'!E"&amp;C29))</f>
        <v/>
      </c>
      <c r="K29" s="253" t="str" cm="1">
        <f t="array" aca="1" ref="K29" ca="1">IF(INDIRECT("'"&amp;B29&amp;"'!F"&amp;C29)=0,"N/A",INDIRECT("'"&amp;B29&amp;"'!F"&amp;C29))</f>
        <v>2.3.2</v>
      </c>
      <c r="L29" s="253" t="str" cm="1">
        <f t="array" aca="1" ref="L29" ca="1">IF(INDIRECT("'"&amp;B29&amp;"'!G"&amp;C29)=0,"N/A",INDIRECT("'"&amp;B29&amp;"'!G"&amp;C29))</f>
        <v>1</v>
      </c>
      <c r="M29" s="253" t="str" cm="1">
        <f t="array" aca="1" ref="M29" ca="1">IF(INDIRECT("'"&amp;B29&amp;"'!H"&amp;C29)=0,"N/A",INDIRECT("'"&amp;B29&amp;"'!H"&amp;C29))</f>
        <v>2.3.2 #1</v>
      </c>
      <c r="N29" s="221" t="str" cm="1">
        <f t="array" aca="1" ref="N29" ca="1">IF(INDIRECT("'"&amp;B29&amp;"'!I"&amp;C29)=0,"N/A",INDIRECT("'"&amp;B29&amp;"'!I"&amp;C29))</f>
        <v>มีการจัดทำและอนุมัติรายละเอียดขั้นตอนและวิธีปฏิบัติงานที่เกี่ยวข้องกับระบบ IT เป็นลายลักษณ์อักษร ตามนโยบายการบริหารจัดการด้าน IT Risk และนโยบายการรักษาความมั่นคงปลอดภัยด้าน IT เพื่อให้เจ้าหน้าที่ผู้ปฏิบัติงานด้าน IT สามารถปฏิบัติงานได้อย่างถูกต้อง รวมถึงมีการปรับปรุงขั้นตอนและวิธีปฏิบัติงานให้สอดคล้องกับนโยบายดังกล่าว</v>
      </c>
      <c r="O29" s="533" t="str" cm="1">
        <f t="array" aca="1" ref="O29" ca="1">IF(INDIRECT("'"&amp;B29&amp;"'!N"&amp;C29)=0,"N/A",INDIRECT("'"&amp;B29&amp;"'!N"&amp;C29))</f>
        <v>Yes/Partial/No</v>
      </c>
      <c r="P29" s="527" t="str" cm="1">
        <f t="array" aca="1" ref="P29" ca="1">IF(INDIRECT("'"&amp;B29&amp;"'!L"&amp;C29)=0,"",INDIRECT("'"&amp;B29&amp;"'!L"&amp;C29))</f>
        <v/>
      </c>
      <c r="Q29" s="527" t="str">
        <f t="shared" ca="1" si="0"/>
        <v/>
      </c>
      <c r="R29" s="563" t="str">
        <f t="shared" ca="1" si="1"/>
        <v>Yes</v>
      </c>
      <c r="S29" s="528" t="s">
        <v>1572</v>
      </c>
      <c r="T29" s="529" t="str">
        <f t="shared" si="2"/>
        <v>X</v>
      </c>
      <c r="U29" s="529" t="str">
        <f t="shared" si="3"/>
        <v/>
      </c>
      <c r="V29" s="529" t="str">
        <f t="shared" si="4"/>
        <v/>
      </c>
      <c r="W29" s="529" t="str">
        <f t="shared" si="5"/>
        <v/>
      </c>
      <c r="X29" s="529" t="str">
        <f t="shared" si="6"/>
        <v/>
      </c>
      <c r="Y29" s="529" t="str">
        <f t="shared" si="7"/>
        <v/>
      </c>
    </row>
    <row r="30" spans="1:25" ht="187.85" x14ac:dyDescent="0.2">
      <c r="A30" s="253" t="s">
        <v>348</v>
      </c>
      <c r="B30" s="253" t="s">
        <v>1569</v>
      </c>
      <c r="C30" s="253">
        <v>36</v>
      </c>
      <c r="D30" s="253" t="s">
        <v>1570</v>
      </c>
      <c r="E30" s="253">
        <v>1.3</v>
      </c>
      <c r="F30" s="253" t="s">
        <v>1571</v>
      </c>
      <c r="G30" s="215" t="str" cm="1">
        <f t="array" aca="1" ref="G30" ca="1">IF(INDIRECT("'"&amp;B30&amp;"'!B"&amp;C30)=0,"",INDIRECT("'"&amp;B30&amp;"'!B"&amp;C30))</f>
        <v>x</v>
      </c>
      <c r="H30" s="215" t="str" cm="1">
        <f t="array" aca="1" ref="H30" ca="1">IF(INDIRECT("'"&amp;B30&amp;"'!C"&amp;C30)=0,"",INDIRECT("'"&amp;B30&amp;"'!C"&amp;C30))</f>
        <v>x</v>
      </c>
      <c r="I30" s="215" t="str" cm="1">
        <f t="array" aca="1" ref="I30" ca="1">IF(INDIRECT("'"&amp;B30&amp;"'!D"&amp;C30)=0,"",INDIRECT("'"&amp;B30&amp;"'!D"&amp;C30))</f>
        <v>x</v>
      </c>
      <c r="J30" s="215" t="str" cm="1">
        <f t="array" aca="1" ref="J30" ca="1">IF(INDIRECT("'"&amp;B30&amp;"'!E"&amp;C30)=0,"",INDIRECT("'"&amp;B30&amp;"'!E"&amp;C30))</f>
        <v/>
      </c>
      <c r="K30" s="253" t="str" cm="1">
        <f t="array" aca="1" ref="K30" ca="1">IF(INDIRECT("'"&amp;B30&amp;"'!F"&amp;C30)=0,"N/A",INDIRECT("'"&amp;B30&amp;"'!F"&amp;C30))</f>
        <v>2.3.2</v>
      </c>
      <c r="L30" s="253" t="str" cm="1">
        <f t="array" aca="1" ref="L30" ca="1">IF(INDIRECT("'"&amp;B30&amp;"'!G"&amp;C30)=0,"N/A",INDIRECT("'"&amp;B30&amp;"'!G"&amp;C30))</f>
        <v>2</v>
      </c>
      <c r="M30" s="253" t="str" cm="1">
        <f t="array" aca="1" ref="M30" ca="1">IF(INDIRECT("'"&amp;B30&amp;"'!H"&amp;C30)=0,"N/A",INDIRECT("'"&amp;B30&amp;"'!H"&amp;C30))</f>
        <v>2.3.2 #2</v>
      </c>
      <c r="N30" s="221" t="str" cm="1">
        <f t="array" aca="1" ref="N30" ca="1">IF(INDIRECT("'"&amp;B30&amp;"'!I"&amp;C30)=0,"N/A",INDIRECT("'"&amp;B30&amp;"'!I"&amp;C30))</f>
        <v>กำหนดวิธีปฏิบัติในการขออนุมัติยกเว้น (exception) เพื่อรองรับกรณีผู้ประกอบธุรกิจไม่สามารถปฏิบัติตามนโยบาย ขั้นตอน และวิธีปฏิบัติที่กำหนดไว้ โดยจัดให้มีการประเมินความเสี่ยง กำหนดแนวทางการควบคุมความเสี่ยงอย่างเพียงพอเหมาะสม และขออนุมัติจากผู้มีอำนาจก่อนดำเนินการต่อไป โดยจัดเก็บหลักฐานการอนุมัติยกเว้นดังกล่าวอย่างเป็นลายลักษณ์อักษร
* ผู้มีอำนาจในการอนุมัติยกเว้น ไม่ควรเป็นบุคคลที่อาจก่อให้เกิดความขัดแย้งทางผลประโยชน์ (conflict of interest) และการกำหนดผู้มีอำนาจอนุมัติยกเว้น ควรเป็นไปตามหลักการบริหารจัดการความเสี่ยงที่ดี (good governance)
** ผู้ประกอบธุรกิจสามารถให้ผู้บริหารของฝ่ายงาน เช่น Head of IT เป็นต้น เป็นผู้อนุมัติยกเว้นได้ กรณีที่การอนุมัติยกเว้นนั้น ได้รับการประเมินแล้วว่ามีความเสี่ยงต่ำ และผู้บริหารของฝ่ายงานดังกล่าว ได้รับการอนุมัติจากคณะกรรมการหรือผู้บริหารระดับสูงของผู้ประกอบธุรกิจเป็นการล่วงหน้า (pre-authorized) ให้เป็นผู้ที่สามารถอนุมัติยกเว้นข้อกำหนดที่มีความเสี่ยงต่ำได้ โดยผู้ประกอบธุรกิจควรรายงานการอนุมัติยกเว้นดังกล่าวให้คณะกรรมการ
หรือผู้บริหารระดับสูงที่เกี่ยวข้องทราบ ตามกรอบระยะเวลาที่เหมาะสม</v>
      </c>
      <c r="O30" s="533" t="str" cm="1">
        <f t="array" aca="1" ref="O30" ca="1">IF(INDIRECT("'"&amp;B30&amp;"'!N"&amp;C30)=0,"N/A",INDIRECT("'"&amp;B30&amp;"'!N"&amp;C30))</f>
        <v>Yes/Partial/No</v>
      </c>
      <c r="P30" s="527" t="str" cm="1">
        <f t="array" aca="1" ref="P30" ca="1">IF(INDIRECT("'"&amp;B30&amp;"'!L"&amp;C30)=0,"",INDIRECT("'"&amp;B30&amp;"'!L"&amp;C30))</f>
        <v/>
      </c>
      <c r="Q30" s="527" t="str">
        <f t="shared" ca="1" si="0"/>
        <v/>
      </c>
      <c r="R30" s="563" t="str">
        <f t="shared" ca="1" si="1"/>
        <v>Yes</v>
      </c>
      <c r="S30" s="528" t="s">
        <v>1577</v>
      </c>
      <c r="T30" s="529" t="str">
        <f t="shared" si="2"/>
        <v/>
      </c>
      <c r="U30" s="529" t="str">
        <f t="shared" si="3"/>
        <v>X</v>
      </c>
      <c r="V30" s="529" t="str">
        <f t="shared" si="4"/>
        <v/>
      </c>
      <c r="W30" s="529" t="str">
        <f t="shared" si="5"/>
        <v/>
      </c>
      <c r="X30" s="529" t="str">
        <f t="shared" si="6"/>
        <v/>
      </c>
      <c r="Y30" s="529" t="str">
        <f t="shared" si="7"/>
        <v/>
      </c>
    </row>
    <row r="31" spans="1:25" ht="37.6" x14ac:dyDescent="0.2">
      <c r="A31" s="253" t="s">
        <v>352</v>
      </c>
      <c r="B31" s="253" t="s">
        <v>1569</v>
      </c>
      <c r="C31" s="253">
        <v>37</v>
      </c>
      <c r="D31" s="253" t="s">
        <v>1570</v>
      </c>
      <c r="E31" s="253">
        <v>1.3</v>
      </c>
      <c r="F31" s="253" t="s">
        <v>1571</v>
      </c>
      <c r="G31" s="215" t="str" cm="1">
        <f t="array" aca="1" ref="G31" ca="1">IF(INDIRECT("'"&amp;B31&amp;"'!B"&amp;C31)=0,"",INDIRECT("'"&amp;B31&amp;"'!B"&amp;C31))</f>
        <v>x</v>
      </c>
      <c r="H31" s="215" t="str" cm="1">
        <f t="array" aca="1" ref="H31" ca="1">IF(INDIRECT("'"&amp;B31&amp;"'!C"&amp;C31)=0,"",INDIRECT("'"&amp;B31&amp;"'!C"&amp;C31))</f>
        <v>x</v>
      </c>
      <c r="I31" s="215" t="str" cm="1">
        <f t="array" aca="1" ref="I31" ca="1">IF(INDIRECT("'"&amp;B31&amp;"'!D"&amp;C31)=0,"",INDIRECT("'"&amp;B31&amp;"'!D"&amp;C31))</f>
        <v>x</v>
      </c>
      <c r="J31" s="215" t="str" cm="1">
        <f t="array" aca="1" ref="J31" ca="1">IF(INDIRECT("'"&amp;B31&amp;"'!E"&amp;C31)=0,"",INDIRECT("'"&amp;B31&amp;"'!E"&amp;C31))</f>
        <v/>
      </c>
      <c r="K31" s="253" t="str" cm="1">
        <f t="array" aca="1" ref="K31" ca="1">IF(INDIRECT("'"&amp;B31&amp;"'!F"&amp;C31)=0,"N/A",INDIRECT("'"&amp;B31&amp;"'!F"&amp;C31))</f>
        <v>2.3.2</v>
      </c>
      <c r="L31" s="253" t="str" cm="1">
        <f t="array" aca="1" ref="L31" ca="1">IF(INDIRECT("'"&amp;B31&amp;"'!G"&amp;C31)=0,"N/A",INDIRECT("'"&amp;B31&amp;"'!G"&amp;C31))</f>
        <v>3</v>
      </c>
      <c r="M31" s="253" t="str" cm="1">
        <f t="array" aca="1" ref="M31" ca="1">IF(INDIRECT("'"&amp;B31&amp;"'!H"&amp;C31)=0,"N/A",INDIRECT("'"&amp;B31&amp;"'!H"&amp;C31))</f>
        <v>2.3.2 #3</v>
      </c>
      <c r="N31" s="221" t="str" cm="1">
        <f t="array" aca="1" ref="N31" ca="1">IF(INDIRECT("'"&amp;B31&amp;"'!I"&amp;C31)=0,"N/A",INDIRECT("'"&amp;B31&amp;"'!I"&amp;C31))</f>
        <v>มีการสอบทานความเหมาะสมของรายการขออนุมัติยกเว้น ตลอดจนแนวทางการควบคุมความเสี่ยงอย่างน้อยปีละ 1 ครั้ง เพื่อทบทวนแนวทางการดำเนินการให้มีความเหมาะสมต่อความเสี่ยงที่อาจมีการเปลี่ยนแปลงไปตามสภาพแวดล้อมการประกอบธุรกิจและการใช้งานเทคโนโลยีสารสนเทศในการประกอบธุรกิจ</v>
      </c>
      <c r="O31" s="533" t="str" cm="1">
        <f t="array" aca="1" ref="O31" ca="1">IF(INDIRECT("'"&amp;B31&amp;"'!N"&amp;C31)=0,"N/A",INDIRECT("'"&amp;B31&amp;"'!N"&amp;C31))</f>
        <v>Yes/Partial/No</v>
      </c>
      <c r="P31" s="527" t="str" cm="1">
        <f t="array" aca="1" ref="P31" ca="1">IF(INDIRECT("'"&amp;B31&amp;"'!L"&amp;C31)=0,"",INDIRECT("'"&amp;B31&amp;"'!L"&amp;C31))</f>
        <v/>
      </c>
      <c r="Q31" s="527" t="str">
        <f t="shared" ca="1" si="0"/>
        <v/>
      </c>
      <c r="R31" s="563" t="str">
        <f t="shared" ca="1" si="1"/>
        <v>Yes</v>
      </c>
      <c r="S31" s="528" t="s">
        <v>1577</v>
      </c>
      <c r="T31" s="529" t="str">
        <f t="shared" si="2"/>
        <v/>
      </c>
      <c r="U31" s="529" t="str">
        <f t="shared" si="3"/>
        <v>X</v>
      </c>
      <c r="V31" s="529" t="str">
        <f t="shared" si="4"/>
        <v/>
      </c>
      <c r="W31" s="529" t="str">
        <f t="shared" si="5"/>
        <v/>
      </c>
      <c r="X31" s="529" t="str">
        <f t="shared" si="6"/>
        <v/>
      </c>
      <c r="Y31" s="529" t="str">
        <f t="shared" si="7"/>
        <v/>
      </c>
    </row>
    <row r="32" spans="1:25" ht="37.6" x14ac:dyDescent="0.2">
      <c r="A32" s="253" t="s">
        <v>356</v>
      </c>
      <c r="B32" s="253" t="s">
        <v>1569</v>
      </c>
      <c r="C32" s="253">
        <v>38</v>
      </c>
      <c r="D32" s="253" t="s">
        <v>1570</v>
      </c>
      <c r="E32" s="253">
        <v>1.3</v>
      </c>
      <c r="F32" s="253" t="s">
        <v>1571</v>
      </c>
      <c r="G32" s="215" t="str" cm="1">
        <f t="array" aca="1" ref="G32" ca="1">IF(INDIRECT("'"&amp;B32&amp;"'!B"&amp;C32)=0,"",INDIRECT("'"&amp;B32&amp;"'!B"&amp;C32))</f>
        <v>x</v>
      </c>
      <c r="H32" s="215" t="str" cm="1">
        <f t="array" aca="1" ref="H32" ca="1">IF(INDIRECT("'"&amp;B32&amp;"'!C"&amp;C32)=0,"",INDIRECT("'"&amp;B32&amp;"'!C"&amp;C32))</f>
        <v>x</v>
      </c>
      <c r="I32" s="215" t="str" cm="1">
        <f t="array" aca="1" ref="I32" ca="1">IF(INDIRECT("'"&amp;B32&amp;"'!D"&amp;C32)=0,"",INDIRECT("'"&amp;B32&amp;"'!D"&amp;C32))</f>
        <v>x</v>
      </c>
      <c r="J32" s="215" t="str" cm="1">
        <f t="array" aca="1" ref="J32" ca="1">IF(INDIRECT("'"&amp;B32&amp;"'!E"&amp;C32)=0,"",INDIRECT("'"&amp;B32&amp;"'!E"&amp;C32))</f>
        <v/>
      </c>
      <c r="K32" s="253" t="str" cm="1">
        <f t="array" aca="1" ref="K32" ca="1">IF(INDIRECT("'"&amp;B32&amp;"'!F"&amp;C32)=0,"N/A",INDIRECT("'"&amp;B32&amp;"'!F"&amp;C32))</f>
        <v>2.3.3</v>
      </c>
      <c r="L32" s="253" t="str" cm="1">
        <f t="array" aca="1" ref="L32" ca="1">IF(INDIRECT("'"&amp;B32&amp;"'!G"&amp;C32)=0,"N/A",INDIRECT("'"&amp;B32&amp;"'!G"&amp;C32))</f>
        <v>N/A</v>
      </c>
      <c r="M32" s="253" t="str" cm="1">
        <f t="array" aca="1" ref="M32" ca="1">IF(INDIRECT("'"&amp;B32&amp;"'!H"&amp;C32)=0,"N/A",INDIRECT("'"&amp;B32&amp;"'!H"&amp;C32))</f>
        <v>2.3.3</v>
      </c>
      <c r="N32" s="221" t="str" cm="1">
        <f t="array" aca="1" ref="N32" ca="1">IF(INDIRECT("'"&amp;B32&amp;"'!I"&amp;C32)=0,"N/A",INDIRECT("'"&amp;B32&amp;"'!I"&amp;C32))</f>
        <v>มีการสื่อสารให้บุคคลที่เกี่ยวข้องได้รับทราบเกี่ยวกับการเปลี่ยนแปลงนโยบายการบริหารจัดการ IT Risk และนโยบายการรักษาความมั่นคงปลอดภัยด้าน IT อย่างทั่วถึง และมีการปรับปรุงขั้นตอนและวิธีปฏิบัติงานให้สอดคล้องกับการเปลี่ยนแปลงดังกล่าว</v>
      </c>
      <c r="O32" s="533" t="str" cm="1">
        <f t="array" aca="1" ref="O32" ca="1">IF(INDIRECT("'"&amp;B32&amp;"'!N"&amp;C32)=0,"N/A",INDIRECT("'"&amp;B32&amp;"'!N"&amp;C32))</f>
        <v>Yes/Partial/No</v>
      </c>
      <c r="P32" s="527" t="str" cm="1">
        <f t="array" aca="1" ref="P32" ca="1">IF(INDIRECT("'"&amp;B32&amp;"'!L"&amp;C32)=0,"",INDIRECT("'"&amp;B32&amp;"'!L"&amp;C32))</f>
        <v/>
      </c>
      <c r="Q32" s="527" t="str">
        <f t="shared" ca="1" si="0"/>
        <v/>
      </c>
      <c r="R32" s="563" t="str">
        <f t="shared" ca="1" si="1"/>
        <v>Yes</v>
      </c>
      <c r="S32" s="528" t="s">
        <v>1572</v>
      </c>
      <c r="T32" s="529" t="str">
        <f t="shared" si="2"/>
        <v>X</v>
      </c>
      <c r="U32" s="529" t="str">
        <f t="shared" si="3"/>
        <v/>
      </c>
      <c r="V32" s="529" t="str">
        <f t="shared" si="4"/>
        <v/>
      </c>
      <c r="W32" s="529" t="str">
        <f t="shared" si="5"/>
        <v/>
      </c>
      <c r="X32" s="529" t="str">
        <f t="shared" si="6"/>
        <v/>
      </c>
      <c r="Y32" s="529" t="str">
        <f t="shared" si="7"/>
        <v/>
      </c>
    </row>
    <row r="33" spans="1:25" ht="37.6" x14ac:dyDescent="0.2">
      <c r="A33" s="253" t="s">
        <v>360</v>
      </c>
      <c r="B33" s="253" t="s">
        <v>1569</v>
      </c>
      <c r="C33" s="253">
        <v>39</v>
      </c>
      <c r="D33" s="253" t="s">
        <v>1570</v>
      </c>
      <c r="E33" s="253">
        <v>1.3</v>
      </c>
      <c r="F33" s="253" t="s">
        <v>1571</v>
      </c>
      <c r="G33" s="215" t="str" cm="1">
        <f t="array" aca="1" ref="G33" ca="1">IF(INDIRECT("'"&amp;B33&amp;"'!B"&amp;C33)=0,"",INDIRECT("'"&amp;B33&amp;"'!B"&amp;C33))</f>
        <v>x</v>
      </c>
      <c r="H33" s="215" t="str" cm="1">
        <f t="array" aca="1" ref="H33" ca="1">IF(INDIRECT("'"&amp;B33&amp;"'!C"&amp;C33)=0,"",INDIRECT("'"&amp;B33&amp;"'!C"&amp;C33))</f>
        <v>x</v>
      </c>
      <c r="I33" s="215" t="str" cm="1">
        <f t="array" aca="1" ref="I33" ca="1">IF(INDIRECT("'"&amp;B33&amp;"'!D"&amp;C33)=0,"",INDIRECT("'"&amp;B33&amp;"'!D"&amp;C33))</f>
        <v>x</v>
      </c>
      <c r="J33" s="215" t="str" cm="1">
        <f t="array" aca="1" ref="J33" ca="1">IF(INDIRECT("'"&amp;B33&amp;"'!E"&amp;C33)=0,"",INDIRECT("'"&amp;B33&amp;"'!E"&amp;C33))</f>
        <v/>
      </c>
      <c r="K33" s="253" t="str" cm="1">
        <f t="array" aca="1" ref="K33" ca="1">IF(INDIRECT("'"&amp;B33&amp;"'!F"&amp;C33)=0,"N/A",INDIRECT("'"&amp;B33&amp;"'!F"&amp;C33))</f>
        <v>2.4</v>
      </c>
      <c r="L33" s="253" t="str" cm="1">
        <f t="array" aca="1" ref="L33" ca="1">IF(INDIRECT("'"&amp;B33&amp;"'!G"&amp;C33)=0,"N/A",INDIRECT("'"&amp;B33&amp;"'!G"&amp;C33))</f>
        <v>N/A</v>
      </c>
      <c r="M33" s="253" cm="1">
        <f t="array" aca="1" ref="M33" ca="1">IF(INDIRECT("'"&amp;B33&amp;"'!H"&amp;C33)=0,"N/A",INDIRECT("'"&amp;B33&amp;"'!H"&amp;C33))</f>
        <v>2.4</v>
      </c>
      <c r="N33" s="221" t="str" cm="1">
        <f t="array" aca="1" ref="N33" ca="1">IF(INDIRECT("'"&amp;B33&amp;"'!I"&amp;C33)=0,"N/A",INDIRECT("'"&amp;B33&amp;"'!I"&amp;C33))</f>
        <v>มีการทบทวนหรือปรับปรุงนโยบายการบริหารจัดการ IT Risk และนโยบายการรักษาความมั่นคงปลอดภัยด้าน ITอย่างน้อยปีละ 1 ครั้งโดยไม่ชักช้าเมื่อมีเหตุการณ์ใด ๆ ซึ่งอาจส่งผลกระทบต่อการกำกับดูแลและบริหารจัดการ IT Risk อย่างมีนัยสำคัญ</v>
      </c>
      <c r="O33" s="533" t="str" cm="1">
        <f t="array" aca="1" ref="O33" ca="1">IF(INDIRECT("'"&amp;B33&amp;"'!N"&amp;C33)=0,"N/A",INDIRECT("'"&amp;B33&amp;"'!N"&amp;C33))</f>
        <v>Yes/Partial/No</v>
      </c>
      <c r="P33" s="527" t="str" cm="1">
        <f t="array" aca="1" ref="P33" ca="1">IF(INDIRECT("'"&amp;B33&amp;"'!L"&amp;C33)=0,"",INDIRECT("'"&amp;B33&amp;"'!L"&amp;C33))</f>
        <v/>
      </c>
      <c r="Q33" s="527" t="str">
        <f t="shared" ca="1" si="0"/>
        <v/>
      </c>
      <c r="R33" s="563" t="str">
        <f t="shared" ca="1" si="1"/>
        <v>Yes</v>
      </c>
      <c r="S33" s="528" t="s">
        <v>1572</v>
      </c>
      <c r="T33" s="529" t="str">
        <f t="shared" si="2"/>
        <v>X</v>
      </c>
      <c r="U33" s="529" t="str">
        <f t="shared" si="3"/>
        <v/>
      </c>
      <c r="V33" s="529" t="str">
        <f t="shared" si="4"/>
        <v/>
      </c>
      <c r="W33" s="529" t="str">
        <f t="shared" si="5"/>
        <v/>
      </c>
      <c r="X33" s="529" t="str">
        <f t="shared" si="6"/>
        <v/>
      </c>
      <c r="Y33" s="529" t="str">
        <f t="shared" si="7"/>
        <v/>
      </c>
    </row>
    <row r="34" spans="1:25" ht="25.05" x14ac:dyDescent="0.2">
      <c r="A34" s="253" t="s">
        <v>368</v>
      </c>
      <c r="B34" s="253" t="s">
        <v>1578</v>
      </c>
      <c r="C34" s="253">
        <v>5</v>
      </c>
      <c r="D34" s="253" t="s">
        <v>1579</v>
      </c>
      <c r="E34" s="253">
        <v>2.1</v>
      </c>
      <c r="F34" s="253" t="s">
        <v>1571</v>
      </c>
      <c r="G34" s="215" t="str" cm="1">
        <f t="array" aca="1" ref="G34" ca="1">IF(INDIRECT("'"&amp;B34&amp;"'!B"&amp;C34)=0,"",INDIRECT("'"&amp;B34&amp;"'!B"&amp;C34))</f>
        <v>x</v>
      </c>
      <c r="H34" s="215" t="str" cm="1">
        <f t="array" aca="1" ref="H34" ca="1">IF(INDIRECT("'"&amp;B34&amp;"'!C"&amp;C34)=0,"",INDIRECT("'"&amp;B34&amp;"'!C"&amp;C34))</f>
        <v>x</v>
      </c>
      <c r="I34" s="215" t="str" cm="1">
        <f t="array" aca="1" ref="I34" ca="1">IF(INDIRECT("'"&amp;B34&amp;"'!D"&amp;C34)=0,"",INDIRECT("'"&amp;B34&amp;"'!D"&amp;C34))</f>
        <v>x</v>
      </c>
      <c r="J34" s="215" t="str" cm="1">
        <f t="array" aca="1" ref="J34" ca="1">IF(INDIRECT("'"&amp;B34&amp;"'!E"&amp;C34)=0,"",INDIRECT("'"&amp;B34&amp;"'!E"&amp;C34))</f>
        <v/>
      </c>
      <c r="K34" s="253" cm="1">
        <f t="array" aca="1" ref="K34" ca="1">IF(INDIRECT("'"&amp;B34&amp;"'!F"&amp;C34)=0,"N/A",INDIRECT("'"&amp;B34&amp;"'!F"&amp;C34))</f>
        <v>1.1000000000000001</v>
      </c>
      <c r="L34" s="253" t="str" cm="1">
        <f t="array" aca="1" ref="L34" ca="1">IF(INDIRECT("'"&amp;B34&amp;"'!G"&amp;C34)=0,"N/A",INDIRECT("'"&amp;B34&amp;"'!G"&amp;C34))</f>
        <v>N/A</v>
      </c>
      <c r="M34" s="253" cm="1">
        <f t="array" aca="1" ref="M34" ca="1">IF(INDIRECT("'"&amp;B34&amp;"'!H"&amp;C34)=0,"N/A",INDIRECT("'"&amp;B34&amp;"'!H"&amp;C34))</f>
        <v>1.1000000000000001</v>
      </c>
      <c r="N34" s="221" t="str" cm="1">
        <f t="array" aca="1" ref="N34" ca="1">IF(INDIRECT("'"&amp;B34&amp;"'!I"&amp;C34)=0,"N/A",INDIRECT("'"&amp;B34&amp;"'!I"&amp;C34))</f>
        <v>มีการกำหนดโครงสร้างภายในองค์กร (organizational structure) ในการปฏิบัติงานด้าน IT โดยมีรายละเอียดหน้าที่และความรับผิดชอบของบุคลากรอย่างเป็นลายลักษณ์อักษร</v>
      </c>
      <c r="O34" s="533" t="str" cm="1">
        <f t="array" aca="1" ref="O34" ca="1">IF(INDIRECT("'"&amp;B34&amp;"'!N"&amp;C34)=0,"N/A",INDIRECT("'"&amp;B34&amp;"'!N"&amp;C34))</f>
        <v>Maturity</v>
      </c>
      <c r="P34" s="527" t="str" cm="1">
        <f t="array" aca="1" ref="P34" ca="1">IF(INDIRECT("'"&amp;B34&amp;"'!L"&amp;C34)=0,"",INDIRECT("'"&amp;B34&amp;"'!L"&amp;C34))</f>
        <v/>
      </c>
      <c r="Q34" s="527" t="str">
        <f t="shared" ca="1" si="0"/>
        <v/>
      </c>
      <c r="R34" s="563" t="str">
        <f t="shared" ca="1" si="1"/>
        <v>Yes</v>
      </c>
      <c r="S34" s="528" t="s">
        <v>1572</v>
      </c>
      <c r="T34" s="529" t="str">
        <f t="shared" si="2"/>
        <v>X</v>
      </c>
      <c r="U34" s="529" t="str">
        <f t="shared" si="3"/>
        <v/>
      </c>
      <c r="V34" s="529" t="str">
        <f t="shared" si="4"/>
        <v/>
      </c>
      <c r="W34" s="529" t="str">
        <f t="shared" si="5"/>
        <v/>
      </c>
      <c r="X34" s="529" t="str">
        <f t="shared" si="6"/>
        <v/>
      </c>
      <c r="Y34" s="529" t="str">
        <f t="shared" si="7"/>
        <v/>
      </c>
    </row>
    <row r="35" spans="1:25" ht="100.2" x14ac:dyDescent="0.2">
      <c r="A35" s="253" t="s">
        <v>376</v>
      </c>
      <c r="B35" s="253" t="s">
        <v>1578</v>
      </c>
      <c r="C35" s="253">
        <v>6</v>
      </c>
      <c r="D35" s="253" t="s">
        <v>1579</v>
      </c>
      <c r="E35" s="253">
        <v>2.1</v>
      </c>
      <c r="F35" s="253" t="s">
        <v>1571</v>
      </c>
      <c r="G35" s="215" t="str" cm="1">
        <f t="array" aca="1" ref="G35" ca="1">IF(INDIRECT("'"&amp;B35&amp;"'!B"&amp;C35)=0,"",INDIRECT("'"&amp;B35&amp;"'!B"&amp;C35))</f>
        <v>x</v>
      </c>
      <c r="H35" s="215" t="str" cm="1">
        <f t="array" aca="1" ref="H35" ca="1">IF(INDIRECT("'"&amp;B35&amp;"'!C"&amp;C35)=0,"",INDIRECT("'"&amp;B35&amp;"'!C"&amp;C35))</f>
        <v>x</v>
      </c>
      <c r="I35" s="215" t="str" cm="1">
        <f t="array" aca="1" ref="I35" ca="1">IF(INDIRECT("'"&amp;B35&amp;"'!D"&amp;C35)=0,"",INDIRECT("'"&amp;B35&amp;"'!D"&amp;C35))</f>
        <v>x</v>
      </c>
      <c r="J35" s="215" t="str" cm="1">
        <f t="array" aca="1" ref="J35" ca="1">IF(INDIRECT("'"&amp;B35&amp;"'!E"&amp;C35)=0,"",INDIRECT("'"&amp;B35&amp;"'!E"&amp;C35))</f>
        <v/>
      </c>
      <c r="K35" s="253" cm="1">
        <f t="array" aca="1" ref="K35" ca="1">IF(INDIRECT("'"&amp;B35&amp;"'!F"&amp;C35)=0,"N/A",INDIRECT("'"&amp;B35&amp;"'!F"&amp;C35))</f>
        <v>1.2</v>
      </c>
      <c r="L35" s="253" cm="1">
        <f t="array" aca="1" ref="L35" ca="1">IF(INDIRECT("'"&amp;B35&amp;"'!G"&amp;C35)=0,"N/A",INDIRECT("'"&amp;B35&amp;"'!G"&amp;C35))</f>
        <v>1</v>
      </c>
      <c r="M35" s="253" t="str" cm="1">
        <f t="array" aca="1" ref="M35" ca="1">IF(INDIRECT("'"&amp;B35&amp;"'!H"&amp;C35)=0,"N/A",INDIRECT("'"&amp;B35&amp;"'!H"&amp;C35))</f>
        <v>1.2 #1</v>
      </c>
      <c r="N35" s="221" t="str" cm="1">
        <f t="array" aca="1" ref="N35" ca="1">IF(INDIRECT("'"&amp;B35&amp;"'!I"&amp;C35)=0,"N/A",INDIRECT("'"&amp;B35&amp;"'!I"&amp;C35))</f>
        <v xml:space="preserve">มีการแบ่งแยกหน้าที่ในการปฏิบัติงานด้านต่าง ๆ ที่เกี่ยวกับความมั่นคงปลอดภัยของระบบเทคโนโลยีสารสนเทศ อย่างชัดเจน เพื่อให้มีการสอบทานการปฏิบัติงานระหว่างกัน เพื่อลดข้อผิดพลาดในการปฏิบัติงานและลดโอกาสการกระทำผิด (fraud) เช่น แบ่งแยกผู้พัฒนาระบบงาน (developer) ออกจากผู้มีสิทธิในการนำระบบขึ้นใช้งานจริง เป็นต้น
หรือจัดให้มีมาตรการควบคุมทดแทน เช่น การจัดให้มีกระบวนการติดตามและตรวจสอบการปฏิบัติงานของบุคลากรที่เกี่ยวข้องอย่างใกล้ชิดและสม่ำเสมอ เป็นต้น กรณีที่ไม่สามารถแบ่งแยกหน้าที่ความรับผิดชอบได้เนื่องจากข้อจำกัดทางด้านขนาดของธุรกิจหรือบุคลากร </v>
      </c>
      <c r="O35" s="533" t="str" cm="1">
        <f t="array" aca="1" ref="O35" ca="1">IF(INDIRECT("'"&amp;B35&amp;"'!N"&amp;C35)=0,"N/A",INDIRECT("'"&amp;B35&amp;"'!N"&amp;C35))</f>
        <v>Maturity</v>
      </c>
      <c r="P35" s="527" t="str" cm="1">
        <f t="array" aca="1" ref="P35" ca="1">IF(INDIRECT("'"&amp;B35&amp;"'!L"&amp;C35)=0,"",INDIRECT("'"&amp;B35&amp;"'!L"&amp;C35))</f>
        <v/>
      </c>
      <c r="Q35" s="527" t="str">
        <f t="shared" ca="1" si="0"/>
        <v/>
      </c>
      <c r="R35" s="563" t="str">
        <f t="shared" ca="1" si="1"/>
        <v>Yes</v>
      </c>
      <c r="S35" s="528" t="s">
        <v>1580</v>
      </c>
      <c r="T35" s="529" t="str">
        <f t="shared" si="2"/>
        <v/>
      </c>
      <c r="U35" s="529" t="str">
        <f t="shared" si="3"/>
        <v/>
      </c>
      <c r="V35" s="529" t="str">
        <f t="shared" si="4"/>
        <v>X</v>
      </c>
      <c r="W35" s="529" t="str">
        <f t="shared" si="5"/>
        <v/>
      </c>
      <c r="X35" s="529" t="str">
        <f t="shared" si="6"/>
        <v/>
      </c>
      <c r="Y35" s="529" t="str">
        <f t="shared" si="7"/>
        <v/>
      </c>
    </row>
    <row r="36" spans="1:25" ht="50.1" x14ac:dyDescent="0.2">
      <c r="A36" s="253" t="s">
        <v>386</v>
      </c>
      <c r="B36" s="253" t="s">
        <v>1581</v>
      </c>
      <c r="C36" s="253">
        <v>5</v>
      </c>
      <c r="D36" s="253" t="s">
        <v>1579</v>
      </c>
      <c r="E36" s="253" t="s">
        <v>282</v>
      </c>
      <c r="F36" s="253" t="s">
        <v>1571</v>
      </c>
      <c r="G36" s="215" t="str" cm="1">
        <f t="array" aca="1" ref="G36" ca="1">IF(INDIRECT("'"&amp;B36&amp;"'!B"&amp;C36)=0,"",INDIRECT("'"&amp;B36&amp;"'!B"&amp;C36))</f>
        <v>x</v>
      </c>
      <c r="H36" s="215" t="str" cm="1">
        <f t="array" aca="1" ref="H36" ca="1">IF(INDIRECT("'"&amp;B36&amp;"'!C"&amp;C36)=0,"",INDIRECT("'"&amp;B36&amp;"'!C"&amp;C36))</f>
        <v>x</v>
      </c>
      <c r="I36" s="215" t="str" cm="1">
        <f t="array" aca="1" ref="I36" ca="1">IF(INDIRECT("'"&amp;B36&amp;"'!D"&amp;C36)=0,"",INDIRECT("'"&amp;B36&amp;"'!D"&amp;C36))</f>
        <v>x</v>
      </c>
      <c r="J36" s="215" t="str" cm="1">
        <f t="array" aca="1" ref="J36" ca="1">IF(INDIRECT("'"&amp;B36&amp;"'!E"&amp;C36)=0,"",INDIRECT("'"&amp;B36&amp;"'!E"&amp;C36))</f>
        <v/>
      </c>
      <c r="K36" s="253" t="str" cm="1">
        <f t="array" aca="1" ref="K36" ca="1">IF(INDIRECT("'"&amp;B36&amp;"'!F"&amp;C36)=0,"N/A",INDIRECT("'"&amp;B36&amp;"'!F"&amp;C36))</f>
        <v>2.1(1)</v>
      </c>
      <c r="L36" s="253" t="str" cm="1">
        <f t="array" aca="1" ref="L36" ca="1">IF(INDIRECT("'"&amp;B36&amp;"'!G"&amp;C36)=0,"N/A",INDIRECT("'"&amp;B36&amp;"'!G"&amp;C36))</f>
        <v>N/A</v>
      </c>
      <c r="M36" s="253" t="str" cm="1">
        <f t="array" aca="1" ref="M36" ca="1">IF(INDIRECT("'"&amp;B36&amp;"'!H"&amp;C36)=0,"N/A",INDIRECT("'"&amp;B36&amp;"'!H"&amp;C36))</f>
        <v>2.1(1)</v>
      </c>
      <c r="N36" s="221" t="str" cm="1">
        <f t="array" aca="1" ref="N36" ca="1">IF(INDIRECT("'"&amp;B36&amp;"'!I"&amp;C36)=0,"N/A",INDIRECT("'"&amp;B36&amp;"'!I"&amp;C36))</f>
        <v xml:space="preserve">มีการจัดทำกระบวนการคัดเลือกบุคลากรในการปฏิบัติหน้าที่โดยคำนึงถึงความรู้ ความสามารถ และความเพียงพอในการปฏิบัติงาน รวมถึง มีการพิจารณารับพนักงานเข้าทำงานหรือการว่าจ้างหน่วยงานให้มีการตรวจสอบประวัติและคุณสมบัติเพื่อให้เพียงพอและสอดคล้องกับความเสี่ยงของตำแหน่งงานและหน้าที่ความรับผิดชอบ
</v>
      </c>
      <c r="O36" s="533" t="str" cm="1">
        <f t="array" aca="1" ref="O36" ca="1">IF(INDIRECT("'"&amp;B36&amp;"'!N"&amp;C36)=0,"N/A",INDIRECT("'"&amp;B36&amp;"'!N"&amp;C36))</f>
        <v>Yes/Partial/No</v>
      </c>
      <c r="P36" s="527" t="str" cm="1">
        <f t="array" aca="1" ref="P36" ca="1">IF(INDIRECT("'"&amp;B36&amp;"'!L"&amp;C36)=0,"",INDIRECT("'"&amp;B36&amp;"'!L"&amp;C36))</f>
        <v/>
      </c>
      <c r="Q36" s="527" t="str">
        <f t="shared" ca="1" si="0"/>
        <v/>
      </c>
      <c r="R36" s="563" t="str">
        <f t="shared" ca="1" si="1"/>
        <v>Yes</v>
      </c>
      <c r="S36" s="528" t="s">
        <v>1572</v>
      </c>
      <c r="T36" s="529" t="str">
        <f t="shared" si="2"/>
        <v>X</v>
      </c>
      <c r="U36" s="529" t="str">
        <f t="shared" si="3"/>
        <v/>
      </c>
      <c r="V36" s="529" t="str">
        <f t="shared" si="4"/>
        <v/>
      </c>
      <c r="W36" s="529" t="str">
        <f t="shared" si="5"/>
        <v/>
      </c>
      <c r="X36" s="529" t="str">
        <f t="shared" si="6"/>
        <v/>
      </c>
      <c r="Y36" s="529" t="str">
        <f t="shared" si="7"/>
        <v/>
      </c>
    </row>
    <row r="37" spans="1:25" ht="87.65" x14ac:dyDescent="0.2">
      <c r="A37" s="253" t="s">
        <v>391</v>
      </c>
      <c r="B37" s="253" t="s">
        <v>1581</v>
      </c>
      <c r="C37" s="253">
        <v>6</v>
      </c>
      <c r="D37" s="253" t="s">
        <v>1579</v>
      </c>
      <c r="E37" s="253" t="s">
        <v>282</v>
      </c>
      <c r="F37" s="253" t="s">
        <v>1571</v>
      </c>
      <c r="G37" s="215" t="str" cm="1">
        <f t="array" aca="1" ref="G37" ca="1">IF(INDIRECT("'"&amp;B37&amp;"'!B"&amp;C37)=0,"",INDIRECT("'"&amp;B37&amp;"'!B"&amp;C37))</f>
        <v>x</v>
      </c>
      <c r="H37" s="215" t="str" cm="1">
        <f t="array" aca="1" ref="H37" ca="1">IF(INDIRECT("'"&amp;B37&amp;"'!C"&amp;C37)=0,"",INDIRECT("'"&amp;B37&amp;"'!C"&amp;C37))</f>
        <v>x</v>
      </c>
      <c r="I37" s="215" t="str" cm="1">
        <f t="array" aca="1" ref="I37" ca="1">IF(INDIRECT("'"&amp;B37&amp;"'!D"&amp;C37)=0,"",INDIRECT("'"&amp;B37&amp;"'!D"&amp;C37))</f>
        <v>x</v>
      </c>
      <c r="J37" s="215" t="str" cm="1">
        <f t="array" aca="1" ref="J37" ca="1">IF(INDIRECT("'"&amp;B37&amp;"'!E"&amp;C37)=0,"",INDIRECT("'"&amp;B37&amp;"'!E"&amp;C37))</f>
        <v/>
      </c>
      <c r="K37" s="253" t="str" cm="1">
        <f t="array" aca="1" ref="K37" ca="1">IF(INDIRECT("'"&amp;B37&amp;"'!F"&amp;C37)=0,"N/A",INDIRECT("'"&amp;B37&amp;"'!F"&amp;C37))</f>
        <v>2.1(2)</v>
      </c>
      <c r="L37" s="253" t="str" cm="1">
        <f t="array" aca="1" ref="L37" ca="1">IF(INDIRECT("'"&amp;B37&amp;"'!G"&amp;C37)=0,"N/A",INDIRECT("'"&amp;B37&amp;"'!G"&amp;C37))</f>
        <v>1</v>
      </c>
      <c r="M37" s="253" t="str" cm="1">
        <f t="array" aca="1" ref="M37" ca="1">IF(INDIRECT("'"&amp;B37&amp;"'!H"&amp;C37)=0,"N/A",INDIRECT("'"&amp;B37&amp;"'!H"&amp;C37))</f>
        <v>2.1(2) #1</v>
      </c>
      <c r="N37" s="221" t="str" cm="1">
        <f t="array" aca="1" ref="N37" ca="1">IF(INDIRECT("'"&amp;B37&amp;"'!I"&amp;C37)=0,"N/A",INDIRECT("'"&amp;B37&amp;"'!I"&amp;C37))</f>
        <v>มีการกำหนดข้อตกลงการจ้างงาน หรือระเบียบข้อบังคับภายในองค์กร นโยบายการรักษาความมั่นคงปลอดภัยด้าน IT และข้อตกลงการไม่เปิดเผยข้อมูล เพื่อป้องกันการละเมิดหรือความเสียหายที่อาจเกิดขึ้นต่อทรัพย์สินด้าน IT ของผู้ประกอบธุรกิจ และให้บุคลากรที่ได้รับการว่าจ้างทำความเข้าใจ รับทราบ และลงนายอมรับ โดยมีเนื้อหาที่ครอบคลุม ดังนี้
    (1) บทบาทหน้าที่และความรับผิดชอบของบุคลากรดังกล่าวและขององค์กร เกี่ยวกับการรักษาความมั่นคงปลอดภัยด้าน IT 
    (2) ข้อตกลงการไม่เปิดเผยข้อมูล non-disclosure agreement</v>
      </c>
      <c r="O37" s="533" t="str" cm="1">
        <f t="array" aca="1" ref="O37" ca="1">IF(INDIRECT("'"&amp;B37&amp;"'!N"&amp;C37)=0,"N/A",INDIRECT("'"&amp;B37&amp;"'!N"&amp;C37))</f>
        <v>Yes/Partial/No</v>
      </c>
      <c r="P37" s="527" t="str" cm="1">
        <f t="array" aca="1" ref="P37" ca="1">IF(INDIRECT("'"&amp;B37&amp;"'!L"&amp;C37)=0,"",INDIRECT("'"&amp;B37&amp;"'!L"&amp;C37))</f>
        <v/>
      </c>
      <c r="Q37" s="527" t="str">
        <f t="shared" ca="1" si="0"/>
        <v/>
      </c>
      <c r="R37" s="563" t="str">
        <f t="shared" ca="1" si="1"/>
        <v>Yes</v>
      </c>
      <c r="S37" s="528" t="s">
        <v>1572</v>
      </c>
      <c r="T37" s="529" t="str">
        <f t="shared" si="2"/>
        <v>X</v>
      </c>
      <c r="U37" s="529" t="str">
        <f t="shared" si="3"/>
        <v/>
      </c>
      <c r="V37" s="529" t="str">
        <f t="shared" si="4"/>
        <v/>
      </c>
      <c r="W37" s="529" t="str">
        <f t="shared" si="5"/>
        <v/>
      </c>
      <c r="X37" s="529" t="str">
        <f t="shared" si="6"/>
        <v/>
      </c>
      <c r="Y37" s="529" t="str">
        <f t="shared" si="7"/>
        <v/>
      </c>
    </row>
    <row r="38" spans="1:25" ht="75.150000000000006" x14ac:dyDescent="0.2">
      <c r="A38" s="253" t="s">
        <v>396</v>
      </c>
      <c r="B38" s="253" t="s">
        <v>1581</v>
      </c>
      <c r="C38" s="253">
        <v>7</v>
      </c>
      <c r="D38" s="253" t="s">
        <v>1579</v>
      </c>
      <c r="E38" s="253" t="s">
        <v>282</v>
      </c>
      <c r="F38" s="253" t="s">
        <v>1571</v>
      </c>
      <c r="G38" s="215" t="str" cm="1">
        <f t="array" aca="1" ref="G38" ca="1">IF(INDIRECT("'"&amp;B38&amp;"'!B"&amp;C38)=0,"",INDIRECT("'"&amp;B38&amp;"'!B"&amp;C38))</f>
        <v>x</v>
      </c>
      <c r="H38" s="215" t="str" cm="1">
        <f t="array" aca="1" ref="H38" ca="1">IF(INDIRECT("'"&amp;B38&amp;"'!C"&amp;C38)=0,"",INDIRECT("'"&amp;B38&amp;"'!C"&amp;C38))</f>
        <v>x</v>
      </c>
      <c r="I38" s="215" t="str" cm="1">
        <f t="array" aca="1" ref="I38" ca="1">IF(INDIRECT("'"&amp;B38&amp;"'!D"&amp;C38)=0,"",INDIRECT("'"&amp;B38&amp;"'!D"&amp;C38))</f>
        <v>x</v>
      </c>
      <c r="J38" s="215" t="str" cm="1">
        <f t="array" aca="1" ref="J38" ca="1">IF(INDIRECT("'"&amp;B38&amp;"'!E"&amp;C38)=0,"",INDIRECT("'"&amp;B38&amp;"'!E"&amp;C38))</f>
        <v/>
      </c>
      <c r="K38" s="253" t="str" cm="1">
        <f t="array" aca="1" ref="K38" ca="1">IF(INDIRECT("'"&amp;B38&amp;"'!F"&amp;C38)=0,"N/A",INDIRECT("'"&amp;B38&amp;"'!F"&amp;C38))</f>
        <v>2.1(2)</v>
      </c>
      <c r="L38" s="253" t="str" cm="1">
        <f t="array" aca="1" ref="L38" ca="1">IF(INDIRECT("'"&amp;B38&amp;"'!G"&amp;C38)=0,"N/A",INDIRECT("'"&amp;B38&amp;"'!G"&amp;C38))</f>
        <v>2</v>
      </c>
      <c r="M38" s="253" t="str" cm="1">
        <f t="array" aca="1" ref="M38" ca="1">IF(INDIRECT("'"&amp;B38&amp;"'!H"&amp;C38)=0,"N/A",INDIRECT("'"&amp;B38&amp;"'!H"&amp;C38))</f>
        <v>2.1(2) #2</v>
      </c>
      <c r="N38" s="221" t="str" cm="1">
        <f t="array" aca="1" ref="N38" ca="1">IF(INDIRECT("'"&amp;B38&amp;"'!I"&amp;C38)=0,"N/A",INDIRECT("'"&amp;B38&amp;"'!I"&amp;C38))</f>
        <v xml:space="preserve">มีการจัดทำข้อตกลงการไม่เปิดเผยความลับ (non-disclosure agreement) โดยครอบคลุมเนื้อหาขั้นต่ำ ดังนี้
    (1) ความเป็นเจ้าของข้อมูลสำคัญทางธุรกิจ ทรัพย์สินทางปัญญา และการป้องกันการรั่วไหลของข้อมูล
    (2) ความรับผิดชอบในการเก็บรักษาความลับ และไม่เปิดเผยข้อมูลโดยไม่ได้รับอนุญาต
    (3) การแจ้งเตือนและรายงานผู้เกี่ยวข้องหากพบการรั่วไหลหรือเปิดเผยข้อมูลโดยไม่ได้รับอนุญาต
    (4) การดำเนินการกรณีละเมิดหรือยกเลิกข้อตกลง รวมทั้งข้อกำหนดในการคืนหรือทำลายข้อมูลที่มีความสำคัญเมื่อสิ้นสุดข้อตกลง </v>
      </c>
      <c r="O38" s="533" t="str" cm="1">
        <f t="array" aca="1" ref="O38" ca="1">IF(INDIRECT("'"&amp;B38&amp;"'!N"&amp;C38)=0,"N/A",INDIRECT("'"&amp;B38&amp;"'!N"&amp;C38))</f>
        <v>Yes/Partial/No</v>
      </c>
      <c r="P38" s="527" t="str" cm="1">
        <f t="array" aca="1" ref="P38" ca="1">IF(INDIRECT("'"&amp;B38&amp;"'!L"&amp;C38)=0,"",INDIRECT("'"&amp;B38&amp;"'!L"&amp;C38))</f>
        <v/>
      </c>
      <c r="Q38" s="527" t="str">
        <f t="shared" ca="1" si="0"/>
        <v/>
      </c>
      <c r="R38" s="563" t="str">
        <f t="shared" ca="1" si="1"/>
        <v>Yes</v>
      </c>
      <c r="S38" s="528" t="s">
        <v>1572</v>
      </c>
      <c r="T38" s="529" t="str">
        <f t="shared" si="2"/>
        <v>X</v>
      </c>
      <c r="U38" s="529" t="str">
        <f t="shared" si="3"/>
        <v/>
      </c>
      <c r="V38" s="529" t="str">
        <f t="shared" si="4"/>
        <v/>
      </c>
      <c r="W38" s="529" t="str">
        <f t="shared" si="5"/>
        <v/>
      </c>
      <c r="X38" s="529" t="str">
        <f t="shared" si="6"/>
        <v/>
      </c>
      <c r="Y38" s="529" t="str">
        <f t="shared" si="7"/>
        <v/>
      </c>
    </row>
    <row r="39" spans="1:25" ht="75.150000000000006" x14ac:dyDescent="0.2">
      <c r="A39" s="253" t="s">
        <v>400</v>
      </c>
      <c r="B39" s="253" t="s">
        <v>1581</v>
      </c>
      <c r="C39" s="253">
        <v>8</v>
      </c>
      <c r="D39" s="253" t="s">
        <v>1579</v>
      </c>
      <c r="E39" s="253" t="s">
        <v>282</v>
      </c>
      <c r="F39" s="253" t="s">
        <v>1571</v>
      </c>
      <c r="G39" s="215" t="str" cm="1">
        <f t="array" aca="1" ref="G39" ca="1">IF(INDIRECT("'"&amp;B39&amp;"'!B"&amp;C39)=0,"",INDIRECT("'"&amp;B39&amp;"'!B"&amp;C39))</f>
        <v>x</v>
      </c>
      <c r="H39" s="215" t="str" cm="1">
        <f t="array" aca="1" ref="H39" ca="1">IF(INDIRECT("'"&amp;B39&amp;"'!C"&amp;C39)=0,"",INDIRECT("'"&amp;B39&amp;"'!C"&amp;C39))</f>
        <v>x</v>
      </c>
      <c r="I39" s="215" t="str" cm="1">
        <f t="array" aca="1" ref="I39" ca="1">IF(INDIRECT("'"&amp;B39&amp;"'!D"&amp;C39)=0,"",INDIRECT("'"&amp;B39&amp;"'!D"&amp;C39))</f>
        <v>x</v>
      </c>
      <c r="J39" s="215" t="str" cm="1">
        <f t="array" aca="1" ref="J39" ca="1">IF(INDIRECT("'"&amp;B39&amp;"'!E"&amp;C39)=0,"",INDIRECT("'"&amp;B39&amp;"'!E"&amp;C39))</f>
        <v/>
      </c>
      <c r="K39" s="253" t="str" cm="1">
        <f t="array" aca="1" ref="K39" ca="1">IF(INDIRECT("'"&amp;B39&amp;"'!F"&amp;C39)=0,"N/A",INDIRECT("'"&amp;B39&amp;"'!F"&amp;C39))</f>
        <v>2.1(3)</v>
      </c>
      <c r="L39" s="253" t="str" cm="1">
        <f t="array" aca="1" ref="L39" ca="1">IF(INDIRECT("'"&amp;B39&amp;"'!G"&amp;C39)=0,"N/A",INDIRECT("'"&amp;B39&amp;"'!G"&amp;C39))</f>
        <v>1</v>
      </c>
      <c r="M39" s="253" t="str" cm="1">
        <f t="array" aca="1" ref="M39" ca="1">IF(INDIRECT("'"&amp;B39&amp;"'!H"&amp;C39)=0,"N/A",INDIRECT("'"&amp;B39&amp;"'!H"&amp;C39))</f>
        <v>2.1(3) #1</v>
      </c>
      <c r="N39" s="221" t="str" cm="1">
        <f t="array" aca="1" ref="N39" ca="1">IF(INDIRECT("'"&amp;B39&amp;"'!I"&amp;C39)=0,"N/A",INDIRECT("'"&amp;B39&amp;"'!I"&amp;C39))</f>
        <v>มีการอบรมสร้างความตระหนักรู้ด้าน IT Risk แก่พนักงานที่ใช้งานระบบสารสนเทศของบริษัทรับทราบอย่างสม่ำเสมอ เช่น การจัดการอบรมภายในองค์กร หรือ การส่งบุคลากรเข้าร่วมฝึกอบรมภายนอกองค์กร เป็นต้น เพื่อให้บุคลากรดังกล่าวสามารถใช้งานระบบ IT ได้อย่างปลอดภัย โดยมีเนื้อหาครอบคลุม ดังนี้
    (1) การรักษาความมั่นคงปลอดภัยด้าน IT 
    (2)  IT Risk และภัยคุกคามทางไซเบอร์
    (3) หลักเกณฑ์และกฎหมายที่เกี่ยวข้องกับ IT</v>
      </c>
      <c r="O39" s="533" t="str" cm="1">
        <f t="array" aca="1" ref="O39" ca="1">IF(INDIRECT("'"&amp;B39&amp;"'!N"&amp;C39)=0,"N/A",INDIRECT("'"&amp;B39&amp;"'!N"&amp;C39))</f>
        <v>Maturity</v>
      </c>
      <c r="P39" s="527" t="str" cm="1">
        <f t="array" aca="1" ref="P39" ca="1">IF(INDIRECT("'"&amp;B39&amp;"'!L"&amp;C39)=0,"",INDIRECT("'"&amp;B39&amp;"'!L"&amp;C39))</f>
        <v/>
      </c>
      <c r="Q39" s="527" t="str">
        <f t="shared" ca="1" si="0"/>
        <v/>
      </c>
      <c r="R39" s="563" t="str">
        <f t="shared" ca="1" si="1"/>
        <v>Yes</v>
      </c>
      <c r="S39" s="528" t="s">
        <v>1580</v>
      </c>
      <c r="T39" s="529" t="str">
        <f t="shared" si="2"/>
        <v/>
      </c>
      <c r="U39" s="529" t="str">
        <f t="shared" si="3"/>
        <v/>
      </c>
      <c r="V39" s="529" t="str">
        <f t="shared" si="4"/>
        <v>X</v>
      </c>
      <c r="W39" s="529" t="str">
        <f t="shared" si="5"/>
        <v/>
      </c>
      <c r="X39" s="529" t="str">
        <f t="shared" si="6"/>
        <v/>
      </c>
      <c r="Y39" s="529" t="str">
        <f t="shared" si="7"/>
        <v/>
      </c>
    </row>
    <row r="40" spans="1:25" ht="25.05" x14ac:dyDescent="0.2">
      <c r="A40" s="253" t="s">
        <v>410</v>
      </c>
      <c r="B40" s="253" t="s">
        <v>1581</v>
      </c>
      <c r="C40" s="253">
        <v>9</v>
      </c>
      <c r="D40" s="253" t="s">
        <v>1579</v>
      </c>
      <c r="E40" s="253" t="s">
        <v>282</v>
      </c>
      <c r="F40" s="253" t="s">
        <v>1571</v>
      </c>
      <c r="G40" s="215" t="str" cm="1">
        <f t="array" aca="1" ref="G40" ca="1">IF(INDIRECT("'"&amp;B40&amp;"'!B"&amp;C40)=0,"",INDIRECT("'"&amp;B40&amp;"'!B"&amp;C40))</f>
        <v>x</v>
      </c>
      <c r="H40" s="215" t="str" cm="1">
        <f t="array" aca="1" ref="H40" ca="1">IF(INDIRECT("'"&amp;B40&amp;"'!C"&amp;C40)=0,"",INDIRECT("'"&amp;B40&amp;"'!C"&amp;C40))</f>
        <v>x</v>
      </c>
      <c r="I40" s="215" t="str" cm="1">
        <f t="array" aca="1" ref="I40" ca="1">IF(INDIRECT("'"&amp;B40&amp;"'!D"&amp;C40)=0,"",INDIRECT("'"&amp;B40&amp;"'!D"&amp;C40))</f>
        <v>x</v>
      </c>
      <c r="J40" s="215" t="str" cm="1">
        <f t="array" aca="1" ref="J40" ca="1">IF(INDIRECT("'"&amp;B40&amp;"'!E"&amp;C40)=0,"",INDIRECT("'"&amp;B40&amp;"'!E"&amp;C40))</f>
        <v/>
      </c>
      <c r="K40" s="253" t="str" cm="1">
        <f t="array" aca="1" ref="K40" ca="1">IF(INDIRECT("'"&amp;B40&amp;"'!F"&amp;C40)=0,"N/A",INDIRECT("'"&amp;B40&amp;"'!F"&amp;C40))</f>
        <v>2.1(3)</v>
      </c>
      <c r="L40" s="253" t="str" cm="1">
        <f t="array" aca="1" ref="L40" ca="1">IF(INDIRECT("'"&amp;B40&amp;"'!G"&amp;C40)=0,"N/A",INDIRECT("'"&amp;B40&amp;"'!G"&amp;C40))</f>
        <v>2</v>
      </c>
      <c r="M40" s="253" t="str" cm="1">
        <f t="array" aca="1" ref="M40" ca="1">IF(INDIRECT("'"&amp;B40&amp;"'!H"&amp;C40)=0,"N/A",INDIRECT("'"&amp;B40&amp;"'!H"&amp;C40))</f>
        <v>2.1(3) #2</v>
      </c>
      <c r="N40" s="221" t="str" cm="1">
        <f t="array" aca="1" ref="N40" ca="1">IF(INDIRECT("'"&amp;B40&amp;"'!I"&amp;C40)=0,"N/A",INDIRECT("'"&amp;B40&amp;"'!I"&amp;C40))</f>
        <v>มีการทบทวนแผนการส่งเสริมและพัฒนาความรู้ด้าน IT (training program) อย่างน้อยปีละ 1 ครั้ง เพื่อให้มั่นใจว่าเนื้อหาและรายละเอียดของแผนงานที่เกี่ยวข้องยังคงเพียงพอและเหมาะสมกับแนวโน้ม IT Risk ในปัจจุบัน</v>
      </c>
      <c r="O40" s="533" t="str" cm="1">
        <f t="array" aca="1" ref="O40" ca="1">IF(INDIRECT("'"&amp;B40&amp;"'!N"&amp;C40)=0,"N/A",INDIRECT("'"&amp;B40&amp;"'!N"&amp;C40))</f>
        <v>Yes/Partial/No</v>
      </c>
      <c r="P40" s="527" t="str" cm="1">
        <f t="array" aca="1" ref="P40" ca="1">IF(INDIRECT("'"&amp;B40&amp;"'!L"&amp;C40)=0,"",INDIRECT("'"&amp;B40&amp;"'!L"&amp;C40))</f>
        <v/>
      </c>
      <c r="Q40" s="527" t="str">
        <f t="shared" ca="1" si="0"/>
        <v/>
      </c>
      <c r="R40" s="563" t="str">
        <f t="shared" ca="1" si="1"/>
        <v>Yes</v>
      </c>
      <c r="S40" s="528" t="s">
        <v>1580</v>
      </c>
      <c r="T40" s="529" t="str">
        <f t="shared" si="2"/>
        <v/>
      </c>
      <c r="U40" s="529" t="str">
        <f t="shared" si="3"/>
        <v/>
      </c>
      <c r="V40" s="529" t="str">
        <f t="shared" si="4"/>
        <v>X</v>
      </c>
      <c r="W40" s="529" t="str">
        <f t="shared" si="5"/>
        <v/>
      </c>
      <c r="X40" s="529" t="str">
        <f t="shared" si="6"/>
        <v/>
      </c>
      <c r="Y40" s="529" t="str">
        <f t="shared" si="7"/>
        <v/>
      </c>
    </row>
    <row r="41" spans="1:25" ht="62.65" x14ac:dyDescent="0.2">
      <c r="A41" s="253" t="s">
        <v>414</v>
      </c>
      <c r="B41" s="253" t="s">
        <v>1581</v>
      </c>
      <c r="C41" s="253">
        <v>10</v>
      </c>
      <c r="D41" s="253" t="s">
        <v>1579</v>
      </c>
      <c r="E41" s="253" t="s">
        <v>282</v>
      </c>
      <c r="F41" s="253" t="s">
        <v>1571</v>
      </c>
      <c r="G41" s="215" t="str" cm="1">
        <f t="array" aca="1" ref="G41" ca="1">IF(INDIRECT("'"&amp;B41&amp;"'!B"&amp;C41)=0,"",INDIRECT("'"&amp;B41&amp;"'!B"&amp;C41))</f>
        <v>x</v>
      </c>
      <c r="H41" s="215" t="str" cm="1">
        <f t="array" aca="1" ref="H41" ca="1">IF(INDIRECT("'"&amp;B41&amp;"'!C"&amp;C41)=0,"",INDIRECT("'"&amp;B41&amp;"'!C"&amp;C41))</f>
        <v>x</v>
      </c>
      <c r="I41" s="215" t="str" cm="1">
        <f t="array" aca="1" ref="I41" ca="1">IF(INDIRECT("'"&amp;B41&amp;"'!D"&amp;C41)=0,"",INDIRECT("'"&amp;B41&amp;"'!D"&amp;C41))</f>
        <v>x</v>
      </c>
      <c r="J41" s="215" t="str" cm="1">
        <f t="array" aca="1" ref="J41" ca="1">IF(INDIRECT("'"&amp;B41&amp;"'!E"&amp;C41)=0,"",INDIRECT("'"&amp;B41&amp;"'!E"&amp;C41))</f>
        <v/>
      </c>
      <c r="K41" s="253" t="str" cm="1">
        <f t="array" aca="1" ref="K41" ca="1">IF(INDIRECT("'"&amp;B41&amp;"'!F"&amp;C41)=0,"N/A",INDIRECT("'"&amp;B41&amp;"'!F"&amp;C41))</f>
        <v>2.1(3)</v>
      </c>
      <c r="L41" s="253" t="str" cm="1">
        <f t="array" aca="1" ref="L41" ca="1">IF(INDIRECT("'"&amp;B41&amp;"'!G"&amp;C41)=0,"N/A",INDIRECT("'"&amp;B41&amp;"'!G"&amp;C41))</f>
        <v>3</v>
      </c>
      <c r="M41" s="253" t="str" cm="1">
        <f t="array" aca="1" ref="M41" ca="1">IF(INDIRECT("'"&amp;B41&amp;"'!H"&amp;C41)=0,"N/A",INDIRECT("'"&amp;B41&amp;"'!H"&amp;C41))</f>
        <v>2.1(3) #3</v>
      </c>
      <c r="N41" s="221" t="str" cm="1">
        <f t="array" aca="1" ref="N41" ca="1">IF(INDIRECT("'"&amp;B41&amp;"'!I"&amp;C41)=0,"N/A",INDIRECT("'"&amp;B41&amp;"'!I"&amp;C41))</f>
        <v xml:space="preserve">มีการเสริมสร้างความตระหนักรู้เรื่องการรักษาความมั่นคงปลอดภัยด้าน IT  และ IT Risk อย่างสม่ำเสมอ ให้แก่บุคลากร (user) ที่สามารถเข้าถึงข้อมูลที่มีความสำคัญของผู้ประกอบธุรกิจหรือข้อมูลของผู้ใช้บริการ เช่น การทดสอบเรื่องอีเมลหลอกลวง (phishing) การทดสอบเรื่องภัยคุกคามแบบวิศวกรรมสังคม (social engineering) และการซักซ้อมแผนเพื่อเตรียมรับมือจากการโจมตีทางไซเบอร์ เป็นต้น
</v>
      </c>
      <c r="O41" s="533" t="str" cm="1">
        <f t="array" aca="1" ref="O41" ca="1">IF(INDIRECT("'"&amp;B41&amp;"'!N"&amp;C41)=0,"N/A",INDIRECT("'"&amp;B41&amp;"'!N"&amp;C41))</f>
        <v>Yes/Partial/No</v>
      </c>
      <c r="P41" s="527" t="str" cm="1">
        <f t="array" aca="1" ref="P41" ca="1">IF(INDIRECT("'"&amp;B41&amp;"'!L"&amp;C41)=0,"",INDIRECT("'"&amp;B41&amp;"'!L"&amp;C41))</f>
        <v/>
      </c>
      <c r="Q41" s="527" t="str">
        <f t="shared" ca="1" si="0"/>
        <v/>
      </c>
      <c r="R41" s="563" t="str">
        <f t="shared" ca="1" si="1"/>
        <v>Yes</v>
      </c>
      <c r="S41" s="528" t="s">
        <v>1580</v>
      </c>
      <c r="T41" s="529" t="str">
        <f t="shared" si="2"/>
        <v/>
      </c>
      <c r="U41" s="529" t="str">
        <f t="shared" si="3"/>
        <v/>
      </c>
      <c r="V41" s="529" t="str">
        <f t="shared" si="4"/>
        <v>X</v>
      </c>
      <c r="W41" s="529" t="str">
        <f t="shared" si="5"/>
        <v/>
      </c>
      <c r="X41" s="529" t="str">
        <f t="shared" si="6"/>
        <v/>
      </c>
      <c r="Y41" s="529" t="str">
        <f t="shared" si="7"/>
        <v/>
      </c>
    </row>
    <row r="42" spans="1:25" ht="37.6" x14ac:dyDescent="0.2">
      <c r="A42" s="253" t="s">
        <v>418</v>
      </c>
      <c r="B42" s="253" t="s">
        <v>1581</v>
      </c>
      <c r="C42" s="253">
        <v>11</v>
      </c>
      <c r="D42" s="253" t="s">
        <v>1579</v>
      </c>
      <c r="E42" s="253" t="s">
        <v>282</v>
      </c>
      <c r="F42" s="253" t="s">
        <v>1571</v>
      </c>
      <c r="G42" s="215" t="str" cm="1">
        <f t="array" aca="1" ref="G42" ca="1">IF(INDIRECT("'"&amp;B42&amp;"'!B"&amp;C42)=0,"",INDIRECT("'"&amp;B42&amp;"'!B"&amp;C42))</f>
        <v>x</v>
      </c>
      <c r="H42" s="215" t="str" cm="1">
        <f t="array" aca="1" ref="H42" ca="1">IF(INDIRECT("'"&amp;B42&amp;"'!C"&amp;C42)=0,"",INDIRECT("'"&amp;B42&amp;"'!C"&amp;C42))</f>
        <v>x</v>
      </c>
      <c r="I42" s="215" t="str" cm="1">
        <f t="array" aca="1" ref="I42" ca="1">IF(INDIRECT("'"&amp;B42&amp;"'!D"&amp;C42)=0,"",INDIRECT("'"&amp;B42&amp;"'!D"&amp;C42))</f>
        <v>x</v>
      </c>
      <c r="J42" s="215" t="str" cm="1">
        <f t="array" aca="1" ref="J42" ca="1">IF(INDIRECT("'"&amp;B42&amp;"'!E"&amp;C42)=0,"",INDIRECT("'"&amp;B42&amp;"'!E"&amp;C42))</f>
        <v/>
      </c>
      <c r="K42" s="253" t="str" cm="1">
        <f t="array" aca="1" ref="K42" ca="1">IF(INDIRECT("'"&amp;B42&amp;"'!F"&amp;C42)=0,"N/A",INDIRECT("'"&amp;B42&amp;"'!F"&amp;C42))</f>
        <v>2.1(4)</v>
      </c>
      <c r="L42" s="253" t="str" cm="1">
        <f t="array" aca="1" ref="L42" ca="1">IF(INDIRECT("'"&amp;B42&amp;"'!G"&amp;C42)=0,"N/A",INDIRECT("'"&amp;B42&amp;"'!G"&amp;C42))</f>
        <v>1-2</v>
      </c>
      <c r="M42" s="253" t="str" cm="1">
        <f t="array" aca="1" ref="M42" ca="1">IF(INDIRECT("'"&amp;B42&amp;"'!H"&amp;C42)=0,"N/A",INDIRECT("'"&amp;B42&amp;"'!H"&amp;C42))</f>
        <v>2.1(4) #1-2</v>
      </c>
      <c r="N42" s="221" t="str" cm="1">
        <f t="array" aca="1" ref="N42" ca="1">IF(INDIRECT("'"&amp;B42&amp;"'!I"&amp;C42)=0,"N/A",INDIRECT("'"&amp;B42&amp;"'!I"&amp;C42))</f>
        <v>มีนโยบายการใช้งาน IT ที่ยอมรับได้ (acceptable use policy) ที่มีรายละเอียดครอบคลุมขอบเขตความรับผิดชอบของผู้ใช้งาน IT สิ่งที่ผู้ใช้งานพึงปฏิบัติ และสิ่งที่ผู้ใช้งานห้ามปฏิบัติ และมีการสื่อสารนโยบายการใช้งาน IT ที่ยอมรับได้ (acceptable use policy) ให้ผู้ใช้งานรับทราบ และลงนามยอมรับนโยบายดังกล่าว</v>
      </c>
      <c r="O42" s="533" t="str" cm="1">
        <f t="array" aca="1" ref="O42" ca="1">IF(INDIRECT("'"&amp;B42&amp;"'!N"&amp;C42)=0,"N/A",INDIRECT("'"&amp;B42&amp;"'!N"&amp;C42))</f>
        <v>Yes/Partial/No</v>
      </c>
      <c r="P42" s="527" t="str" cm="1">
        <f t="array" aca="1" ref="P42" ca="1">IF(INDIRECT("'"&amp;B42&amp;"'!L"&amp;C42)=0,"",INDIRECT("'"&amp;B42&amp;"'!L"&amp;C42))</f>
        <v/>
      </c>
      <c r="Q42" s="527" t="str">
        <f t="shared" ca="1" si="0"/>
        <v/>
      </c>
      <c r="R42" s="563" t="str">
        <f t="shared" ca="1" si="1"/>
        <v>Yes</v>
      </c>
      <c r="S42" s="528" t="s">
        <v>1572</v>
      </c>
      <c r="T42" s="529" t="str">
        <f t="shared" si="2"/>
        <v>X</v>
      </c>
      <c r="U42" s="529" t="str">
        <f t="shared" si="3"/>
        <v/>
      </c>
      <c r="V42" s="529" t="str">
        <f t="shared" si="4"/>
        <v/>
      </c>
      <c r="W42" s="529" t="str">
        <f t="shared" si="5"/>
        <v/>
      </c>
      <c r="X42" s="529" t="str">
        <f t="shared" si="6"/>
        <v/>
      </c>
      <c r="Y42" s="529" t="str">
        <f t="shared" si="7"/>
        <v/>
      </c>
    </row>
    <row r="43" spans="1:25" ht="25.05" x14ac:dyDescent="0.2">
      <c r="A43" s="253" t="s">
        <v>423</v>
      </c>
      <c r="B43" s="253" t="s">
        <v>1581</v>
      </c>
      <c r="C43" s="253">
        <v>12</v>
      </c>
      <c r="D43" s="253" t="s">
        <v>1579</v>
      </c>
      <c r="E43" s="253" t="s">
        <v>282</v>
      </c>
      <c r="F43" s="253" t="s">
        <v>1571</v>
      </c>
      <c r="G43" s="215" t="str" cm="1">
        <f t="array" aca="1" ref="G43" ca="1">IF(INDIRECT("'"&amp;B43&amp;"'!B"&amp;C43)=0,"",INDIRECT("'"&amp;B43&amp;"'!B"&amp;C43))</f>
        <v>x</v>
      </c>
      <c r="H43" s="215" t="str" cm="1">
        <f t="array" aca="1" ref="H43" ca="1">IF(INDIRECT("'"&amp;B43&amp;"'!C"&amp;C43)=0,"",INDIRECT("'"&amp;B43&amp;"'!C"&amp;C43))</f>
        <v>x</v>
      </c>
      <c r="I43" s="215" t="str" cm="1">
        <f t="array" aca="1" ref="I43" ca="1">IF(INDIRECT("'"&amp;B43&amp;"'!D"&amp;C43)=0,"",INDIRECT("'"&amp;B43&amp;"'!D"&amp;C43))</f>
        <v>x</v>
      </c>
      <c r="J43" s="215" t="str" cm="1">
        <f t="array" aca="1" ref="J43" ca="1">IF(INDIRECT("'"&amp;B43&amp;"'!E"&amp;C43)=0,"",INDIRECT("'"&amp;B43&amp;"'!E"&amp;C43))</f>
        <v/>
      </c>
      <c r="K43" s="253" t="str" cm="1">
        <f t="array" aca="1" ref="K43" ca="1">IF(INDIRECT("'"&amp;B43&amp;"'!F"&amp;C43)=0,"N/A",INDIRECT("'"&amp;B43&amp;"'!F"&amp;C43))</f>
        <v>2.1(5)</v>
      </c>
      <c r="L43" s="253" t="str" cm="1">
        <f t="array" aca="1" ref="L43" ca="1">IF(INDIRECT("'"&amp;B43&amp;"'!G"&amp;C43)=0,"N/A",INDIRECT("'"&amp;B43&amp;"'!G"&amp;C43))</f>
        <v>N/A</v>
      </c>
      <c r="M43" s="253" t="str" cm="1">
        <f t="array" aca="1" ref="M43" ca="1">IF(INDIRECT("'"&amp;B43&amp;"'!H"&amp;C43)=0,"N/A",INDIRECT("'"&amp;B43&amp;"'!H"&amp;C43))</f>
        <v>2.1(5)</v>
      </c>
      <c r="N43" s="221" t="str" cm="1">
        <f t="array" aca="1" ref="N43" ca="1">IF(INDIRECT("'"&amp;B43&amp;"'!I"&amp;C43)=0,"N/A",INDIRECT("'"&amp;B43&amp;"'!I"&amp;C43))</f>
        <v>มีการกำหนดมาตรการในการลงโทษบุคลากรที่มีพฤติกรรมฝ่าฝืนหรือไม่ปฏิบัติตามนโยบายและมาตรการรักษาความมั่นคงปลอดภัยในการปฏิบัติงานด้าน IT</v>
      </c>
      <c r="O43" s="533" t="str" cm="1">
        <f t="array" aca="1" ref="O43" ca="1">IF(INDIRECT("'"&amp;B43&amp;"'!N"&amp;C43)=0,"N/A",INDIRECT("'"&amp;B43&amp;"'!N"&amp;C43))</f>
        <v>Yes/Partial/No</v>
      </c>
      <c r="P43" s="527" t="str" cm="1">
        <f t="array" aca="1" ref="P43" ca="1">IF(INDIRECT("'"&amp;B43&amp;"'!L"&amp;C43)=0,"",INDIRECT("'"&amp;B43&amp;"'!L"&amp;C43))</f>
        <v/>
      </c>
      <c r="Q43" s="527" t="str">
        <f t="shared" ca="1" si="0"/>
        <v/>
      </c>
      <c r="R43" s="563" t="str">
        <f t="shared" ca="1" si="1"/>
        <v>Yes</v>
      </c>
      <c r="S43" s="528" t="s">
        <v>1572</v>
      </c>
      <c r="T43" s="529" t="str">
        <f t="shared" si="2"/>
        <v>X</v>
      </c>
      <c r="U43" s="529" t="str">
        <f t="shared" si="3"/>
        <v/>
      </c>
      <c r="V43" s="529" t="str">
        <f t="shared" si="4"/>
        <v/>
      </c>
      <c r="W43" s="529" t="str">
        <f t="shared" si="5"/>
        <v/>
      </c>
      <c r="X43" s="529" t="str">
        <f t="shared" si="6"/>
        <v/>
      </c>
      <c r="Y43" s="529" t="str">
        <f t="shared" si="7"/>
        <v/>
      </c>
    </row>
    <row r="44" spans="1:25" ht="37.6" x14ac:dyDescent="0.2">
      <c r="A44" s="253" t="s">
        <v>427</v>
      </c>
      <c r="B44" s="253" t="s">
        <v>1581</v>
      </c>
      <c r="C44" s="253">
        <v>13</v>
      </c>
      <c r="D44" s="253" t="s">
        <v>1579</v>
      </c>
      <c r="E44" s="253" t="s">
        <v>282</v>
      </c>
      <c r="F44" s="253" t="s">
        <v>1571</v>
      </c>
      <c r="G44" s="215" t="str" cm="1">
        <f t="array" aca="1" ref="G44" ca="1">IF(INDIRECT("'"&amp;B44&amp;"'!B"&amp;C44)=0,"",INDIRECT("'"&amp;B44&amp;"'!B"&amp;C44))</f>
        <v>x</v>
      </c>
      <c r="H44" s="215" t="str" cm="1">
        <f t="array" aca="1" ref="H44" ca="1">IF(INDIRECT("'"&amp;B44&amp;"'!C"&amp;C44)=0,"",INDIRECT("'"&amp;B44&amp;"'!C"&amp;C44))</f>
        <v>x</v>
      </c>
      <c r="I44" s="215" t="str" cm="1">
        <f t="array" aca="1" ref="I44" ca="1">IF(INDIRECT("'"&amp;B44&amp;"'!D"&amp;C44)=0,"",INDIRECT("'"&amp;B44&amp;"'!D"&amp;C44))</f>
        <v>x</v>
      </c>
      <c r="J44" s="215" t="str" cm="1">
        <f t="array" aca="1" ref="J44" ca="1">IF(INDIRECT("'"&amp;B44&amp;"'!E"&amp;C44)=0,"",INDIRECT("'"&amp;B44&amp;"'!E"&amp;C44))</f>
        <v/>
      </c>
      <c r="K44" s="253" t="str" cm="1">
        <f t="array" aca="1" ref="K44" ca="1">IF(INDIRECT("'"&amp;B44&amp;"'!F"&amp;C44)=0,"N/A",INDIRECT("'"&amp;B44&amp;"'!F"&amp;C44))</f>
        <v>2.1(6)</v>
      </c>
      <c r="L44" s="253" t="str" cm="1">
        <f t="array" aca="1" ref="L44" ca="1">IF(INDIRECT("'"&amp;B44&amp;"'!G"&amp;C44)=0,"N/A",INDIRECT("'"&amp;B44&amp;"'!G"&amp;C44))</f>
        <v>1</v>
      </c>
      <c r="M44" s="253" t="str" cm="1">
        <f t="array" aca="1" ref="M44" ca="1">IF(INDIRECT("'"&amp;B44&amp;"'!H"&amp;C44)=0,"N/A",INDIRECT("'"&amp;B44&amp;"'!H"&amp;C44))</f>
        <v>2.1(6) #1</v>
      </c>
      <c r="N44" s="221" t="str" cm="1">
        <f t="array" aca="1" ref="N44" ca="1">IF(INDIRECT("'"&amp;B44&amp;"'!I"&amp;C44)=0,"N/A",INDIRECT("'"&amp;B44&amp;"'!I"&amp;C44))</f>
        <v>มีกระบวนการจัดการเกี่ยวกับการเปลี่ยนแปลงตำแหน่งงานหรือสิ้นสุดการจ้างงานและมอบหมายให้มีผู้รับผิดชอบอย่างชัดเจน เช่น การคืนทรัพย์สินขององค์กร การปรับปรุงสิทธิให้เป็นปัจจุบัน และยกเลิกสิทธิเมื่อสิ้นสุดการจ้างงาน  รวมทั้งมีการสื่อสารให้ผู้ที่เกี่ยวข้องรับทราบถึงการเปลี่ยนแปลงสิทธิ หน้าที่ และความรับผิดชอบ</v>
      </c>
      <c r="O44" s="533" t="str" cm="1">
        <f t="array" aca="1" ref="O44" ca="1">IF(INDIRECT("'"&amp;B44&amp;"'!N"&amp;C44)=0,"N/A",INDIRECT("'"&amp;B44&amp;"'!N"&amp;C44))</f>
        <v>Maturity</v>
      </c>
      <c r="P44" s="527" t="str" cm="1">
        <f t="array" aca="1" ref="P44" ca="1">IF(INDIRECT("'"&amp;B44&amp;"'!L"&amp;C44)=0,"",INDIRECT("'"&amp;B44&amp;"'!L"&amp;C44))</f>
        <v/>
      </c>
      <c r="Q44" s="527" t="str">
        <f t="shared" ca="1" si="0"/>
        <v/>
      </c>
      <c r="R44" s="563" t="str">
        <f t="shared" ca="1" si="1"/>
        <v>Yes</v>
      </c>
      <c r="S44" s="528" t="s">
        <v>1572</v>
      </c>
      <c r="T44" s="529" t="str">
        <f t="shared" si="2"/>
        <v>X</v>
      </c>
      <c r="U44" s="529" t="str">
        <f t="shared" si="3"/>
        <v/>
      </c>
      <c r="V44" s="529" t="str">
        <f t="shared" si="4"/>
        <v/>
      </c>
      <c r="W44" s="529" t="str">
        <f t="shared" si="5"/>
        <v/>
      </c>
      <c r="X44" s="529" t="str">
        <f t="shared" si="6"/>
        <v/>
      </c>
      <c r="Y44" s="529" t="str">
        <f t="shared" si="7"/>
        <v/>
      </c>
    </row>
    <row r="45" spans="1:25" ht="112.7" x14ac:dyDescent="0.2">
      <c r="A45" s="253" t="s">
        <v>438</v>
      </c>
      <c r="B45" s="253" t="s">
        <v>1581</v>
      </c>
      <c r="C45" s="253">
        <v>15</v>
      </c>
      <c r="D45" s="253" t="s">
        <v>1579</v>
      </c>
      <c r="E45" s="253" t="s">
        <v>332</v>
      </c>
      <c r="F45" s="253" t="s">
        <v>1571</v>
      </c>
      <c r="G45" s="215" t="str" cm="1">
        <f t="array" aca="1" ref="G45" ca="1">IF(INDIRECT("'"&amp;B45&amp;"'!B"&amp;C45)=0,"",INDIRECT("'"&amp;B45&amp;"'!B"&amp;C45))</f>
        <v>x</v>
      </c>
      <c r="H45" s="215" t="str" cm="1">
        <f t="array" aca="1" ref="H45" ca="1">IF(INDIRECT("'"&amp;B45&amp;"'!C"&amp;C45)=0,"",INDIRECT("'"&amp;B45&amp;"'!C"&amp;C45))</f>
        <v>x</v>
      </c>
      <c r="I45" s="215" t="str" cm="1">
        <f t="array" aca="1" ref="I45" ca="1">IF(INDIRECT("'"&amp;B45&amp;"'!D"&amp;C45)=0,"",INDIRECT("'"&amp;B45&amp;"'!D"&amp;C45))</f>
        <v>x</v>
      </c>
      <c r="J45" s="215" t="str" cm="1">
        <f t="array" aca="1" ref="J45" ca="1">IF(INDIRECT("'"&amp;B45&amp;"'!E"&amp;C45)=0,"",INDIRECT("'"&amp;B45&amp;"'!E"&amp;C45))</f>
        <v>x</v>
      </c>
      <c r="K45" s="253" t="str" cm="1">
        <f t="array" aca="1" ref="K45" ca="1">IF(INDIRECT("'"&amp;B45&amp;"'!F"&amp;C45)=0,"N/A",INDIRECT("'"&amp;B45&amp;"'!F"&amp;C45))</f>
        <v>2.2(1)</v>
      </c>
      <c r="L45" s="253" t="str" cm="1">
        <f t="array" aca="1" ref="L45" ca="1">IF(INDIRECT("'"&amp;B45&amp;"'!G"&amp;C45)=0,"N/A",INDIRECT("'"&amp;B45&amp;"'!G"&amp;C45))</f>
        <v>1-2</v>
      </c>
      <c r="M45" s="253" t="str" cm="1">
        <f t="array" aca="1" ref="M45" ca="1">IF(INDIRECT("'"&amp;B45&amp;"'!H"&amp;C45)=0,"N/A",INDIRECT("'"&amp;B45&amp;"'!H"&amp;C45))</f>
        <v>2.2(1) #1-2</v>
      </c>
      <c r="N45" s="221" t="str" cm="1">
        <f t="array" aca="1" ref="N45" ca="1">IF(INDIRECT("'"&amp;B45&amp;"'!I"&amp;C45)=0,"N/A",INDIRECT("'"&amp;B45&amp;"'!I"&amp;C45))</f>
        <v>มีการประเมินความเสี่ยงจากการใช้บริการ การเชื่อมต่อหรือการเข้าถึงข้อมูลจากบุคคลภายนอก รวมถึงผู้รับดำเนินการช่วง (subcontract) จากบุคคลภายนอก (ถ้ามี) เพื่อจัดระดับความสำคัญของบุคคลภายนอก โดยคำนึงถึงความเสี่ยงดังต่อไปนี้
    (1) ความเสี่ยงด้านกฎหมาย
    (2) ความเสี่ยงจากการกำกับดูแลและบริหารจัดการบุคคลภายนอกที่ไม่รัดกุมเพียงพอ
    (3) ความเสี่ยงจากการกระจุกตัว (concentration risk)
    (4) ความเสี่ยงจากการพึ่งพาบุคคลภายนอกรายใดรายหนึ่งเป็นหลัก (third party/vendor locked-in)
    (5)  ความเสี่ยงด้าน IT และภัยทางไซเบอร์ 
    (6) ความเสี่ยงกรณีบุคคลภายนอกให้ผู้อื่นดำเนินการแทน (subcontractor risk)</v>
      </c>
      <c r="O45" s="533" t="str" cm="1">
        <f t="array" aca="1" ref="O45" ca="1">IF(INDIRECT("'"&amp;B45&amp;"'!N"&amp;C45)=0,"N/A",INDIRECT("'"&amp;B45&amp;"'!N"&amp;C45))</f>
        <v>Yes/Partial/No</v>
      </c>
      <c r="P45" s="527" t="str" cm="1">
        <f t="array" aca="1" ref="P45" ca="1">IF(INDIRECT("'"&amp;B45&amp;"'!L"&amp;C45)=0,"",INDIRECT("'"&amp;B45&amp;"'!L"&amp;C45))</f>
        <v/>
      </c>
      <c r="Q45" s="527" t="str">
        <f t="shared" ca="1" si="0"/>
        <v/>
      </c>
      <c r="R45" s="563" t="str">
        <f t="shared" ca="1" si="1"/>
        <v>Yes</v>
      </c>
      <c r="S45" s="528" t="s">
        <v>1572</v>
      </c>
      <c r="T45" s="529" t="str">
        <f t="shared" si="2"/>
        <v>X</v>
      </c>
      <c r="U45" s="529" t="str">
        <f t="shared" si="3"/>
        <v/>
      </c>
      <c r="V45" s="529" t="str">
        <f t="shared" si="4"/>
        <v/>
      </c>
      <c r="W45" s="529" t="str">
        <f t="shared" si="5"/>
        <v/>
      </c>
      <c r="X45" s="529" t="str">
        <f t="shared" si="6"/>
        <v/>
      </c>
      <c r="Y45" s="529" t="str">
        <f t="shared" si="7"/>
        <v/>
      </c>
    </row>
    <row r="46" spans="1:25" ht="50.1" x14ac:dyDescent="0.2">
      <c r="A46" s="253" t="s">
        <v>443</v>
      </c>
      <c r="B46" s="253" t="s">
        <v>1581</v>
      </c>
      <c r="C46" s="253">
        <v>16</v>
      </c>
      <c r="D46" s="253" t="s">
        <v>1579</v>
      </c>
      <c r="E46" s="253" t="s">
        <v>332</v>
      </c>
      <c r="F46" s="253" t="s">
        <v>1571</v>
      </c>
      <c r="G46" s="215" t="str" cm="1">
        <f t="array" aca="1" ref="G46" ca="1">IF(INDIRECT("'"&amp;B46&amp;"'!B"&amp;C46)=0,"",INDIRECT("'"&amp;B46&amp;"'!B"&amp;C46))</f>
        <v>x</v>
      </c>
      <c r="H46" s="215" t="str" cm="1">
        <f t="array" aca="1" ref="H46" ca="1">IF(INDIRECT("'"&amp;B46&amp;"'!C"&amp;C46)=0,"",INDIRECT("'"&amp;B46&amp;"'!C"&amp;C46))</f>
        <v>x</v>
      </c>
      <c r="I46" s="215" t="str" cm="1">
        <f t="array" aca="1" ref="I46" ca="1">IF(INDIRECT("'"&amp;B46&amp;"'!D"&amp;C46)=0,"",INDIRECT("'"&amp;B46&amp;"'!D"&amp;C46))</f>
        <v>x</v>
      </c>
      <c r="J46" s="215" t="str" cm="1">
        <f t="array" aca="1" ref="J46" ca="1">IF(INDIRECT("'"&amp;B46&amp;"'!E"&amp;C46)=0,"",INDIRECT("'"&amp;B46&amp;"'!E"&amp;C46))</f>
        <v>x</v>
      </c>
      <c r="K46" s="253" t="str" cm="1">
        <f t="array" aca="1" ref="K46" ca="1">IF(INDIRECT("'"&amp;B46&amp;"'!F"&amp;C46)=0,"N/A",INDIRECT("'"&amp;B46&amp;"'!F"&amp;C46))</f>
        <v>2.2(2)</v>
      </c>
      <c r="L46" s="253" cm="1">
        <f t="array" aca="1" ref="L46" ca="1">IF(INDIRECT("'"&amp;B46&amp;"'!G"&amp;C46)=0,"N/A",INDIRECT("'"&amp;B46&amp;"'!G"&amp;C46))</f>
        <v>1</v>
      </c>
      <c r="M46" s="253" t="str" cm="1">
        <f t="array" aca="1" ref="M46" ca="1">IF(INDIRECT("'"&amp;B46&amp;"'!H"&amp;C46)=0,"N/A",INDIRECT("'"&amp;B46&amp;"'!H"&amp;C46))</f>
        <v>2.2(2) #1</v>
      </c>
      <c r="N46" s="221" t="str" cm="1">
        <f t="array" aca="1" ref="N46" ca="1">IF(INDIRECT("'"&amp;B46&amp;"'!I"&amp;C46)=0,"N/A",INDIRECT("'"&amp;B46&amp;"'!I"&amp;C46))</f>
        <v>มีการกำหนดกระบวนการและหลักเกณฑ์ในการคัดเลือกบุคคลภายนอกอย่างชัดเจนและเป็นลายลักษณ์อักษร เพื่อให้มั่นใจว่าผู้ให้บริการภายนอกจะสามารถให้บริการได้ตรงตามความต้องการของผู้ประกอบธุรกิจ โดยการตัดสินใจในการใช้บริการ การเชื่อมต่อ หรือการเข้าถึงข้อมูลจากบุคคลภายนอกที่มีความเสี่ยงหรือมีนัยสำคัญ ควรได้รับความเห็นชอบจากคณะกรรมการหรือผู้บริหารระดับสูงที่ได้รับมอบหมาย</v>
      </c>
      <c r="O46" s="533" t="str" cm="1">
        <f t="array" aca="1" ref="O46" ca="1">IF(INDIRECT("'"&amp;B46&amp;"'!N"&amp;C46)=0,"N/A",INDIRECT("'"&amp;B46&amp;"'!N"&amp;C46))</f>
        <v>Yes/Partial/No</v>
      </c>
      <c r="P46" s="527" t="str" cm="1">
        <f t="array" aca="1" ref="P46" ca="1">IF(INDIRECT("'"&amp;B46&amp;"'!L"&amp;C46)=0,"",INDIRECT("'"&amp;B46&amp;"'!L"&amp;C46))</f>
        <v/>
      </c>
      <c r="Q46" s="527" t="str">
        <f t="shared" ca="1" si="0"/>
        <v/>
      </c>
      <c r="R46" s="563" t="str">
        <f t="shared" ca="1" si="1"/>
        <v>Yes</v>
      </c>
      <c r="S46" s="528" t="s">
        <v>1576</v>
      </c>
      <c r="T46" s="529" t="str">
        <f t="shared" si="2"/>
        <v>X</v>
      </c>
      <c r="U46" s="529" t="str">
        <f t="shared" si="3"/>
        <v>X</v>
      </c>
      <c r="V46" s="529" t="str">
        <f t="shared" si="4"/>
        <v/>
      </c>
      <c r="W46" s="529" t="str">
        <f t="shared" si="5"/>
        <v/>
      </c>
      <c r="X46" s="529" t="str">
        <f t="shared" si="6"/>
        <v/>
      </c>
      <c r="Y46" s="529" t="str">
        <f t="shared" si="7"/>
        <v/>
      </c>
    </row>
    <row r="47" spans="1:25" ht="162.80000000000001" x14ac:dyDescent="0.2">
      <c r="A47" s="253" t="s">
        <v>448</v>
      </c>
      <c r="B47" s="253" t="s">
        <v>1581</v>
      </c>
      <c r="C47" s="253">
        <v>17</v>
      </c>
      <c r="D47" s="253" t="s">
        <v>1579</v>
      </c>
      <c r="E47" s="253" t="s">
        <v>332</v>
      </c>
      <c r="F47" s="253" t="s">
        <v>1571</v>
      </c>
      <c r="G47" s="215" t="str" cm="1">
        <f t="array" aca="1" ref="G47" ca="1">IF(INDIRECT("'"&amp;B47&amp;"'!B"&amp;C47)=0,"",INDIRECT("'"&amp;B47&amp;"'!B"&amp;C47))</f>
        <v>x</v>
      </c>
      <c r="H47" s="215" t="str" cm="1">
        <f t="array" aca="1" ref="H47" ca="1">IF(INDIRECT("'"&amp;B47&amp;"'!C"&amp;C47)=0,"",INDIRECT("'"&amp;B47&amp;"'!C"&amp;C47))</f>
        <v>x</v>
      </c>
      <c r="I47" s="215" t="str" cm="1">
        <f t="array" aca="1" ref="I47" ca="1">IF(INDIRECT("'"&amp;B47&amp;"'!D"&amp;C47)=0,"",INDIRECT("'"&amp;B47&amp;"'!D"&amp;C47))</f>
        <v>x</v>
      </c>
      <c r="J47" s="215" t="str" cm="1">
        <f t="array" aca="1" ref="J47" ca="1">IF(INDIRECT("'"&amp;B47&amp;"'!E"&amp;C47)=0,"",INDIRECT("'"&amp;B47&amp;"'!E"&amp;C47))</f>
        <v>x</v>
      </c>
      <c r="K47" s="253" t="str" cm="1">
        <f t="array" aca="1" ref="K47" ca="1">IF(INDIRECT("'"&amp;B47&amp;"'!F"&amp;C47)=0,"N/A",INDIRECT("'"&amp;B47&amp;"'!F"&amp;C47))</f>
        <v>2.2(2)</v>
      </c>
      <c r="L47" s="253" cm="1">
        <f t="array" aca="1" ref="L47" ca="1">IF(INDIRECT("'"&amp;B47&amp;"'!G"&amp;C47)=0,"N/A",INDIRECT("'"&amp;B47&amp;"'!G"&amp;C47))</f>
        <v>2</v>
      </c>
      <c r="M47" s="253" t="str" cm="1">
        <f t="array" aca="1" ref="M47" ca="1">IF(INDIRECT("'"&amp;B47&amp;"'!H"&amp;C47)=0,"N/A",INDIRECT("'"&amp;B47&amp;"'!H"&amp;C47))</f>
        <v>2.2(2) #2</v>
      </c>
      <c r="N47" s="221" t="str" cm="1">
        <f t="array" aca="1" ref="N47" ca="1">IF(INDIRECT("'"&amp;B47&amp;"'!I"&amp;C47)=0,"N/A",INDIRECT("'"&amp;B47&amp;"'!I"&amp;C47))</f>
        <v>มีการกำหนดวิธีปฏิบัติและหลักเกณฑ์ในการคัดเลือกบุคคลภายนอก โดยคำนึงถึงเรื่องดังนี้
    (1) ฐานะทางการเงิน ชื่อเสียง ความรู้ความเชี่ยวชาญ ประสบการณ์ และความสามารถในการให้บริการในช่วงที่ผ่านมา และระบบการบริหารงานภายใน
    (2) การบริหารจัดการความเสี่ยง การควบคุมภายใน การตรวจสอบภายใน และการติดตามผลการปฏิบัติงาน
    (3) การรักษาความมั่นคงปลอดภัยด้าน IT
    (4) การบริหารจัดการความต่อเนื่องทางธุรกิจ และความพร้อมรับมือภัยหรือเหตุการณ์ต่าง ๆ
    (5) การปฏิบัติตามกฎหมายและกฎเกณฑ์ที่เกี่ยวข้อง
    (6) การปฏิบัติตามมาตรฐานสากลด้าน IT
    (7) การใช้ IT แบบเปิด (open technology) เพื่อให้สามารถนำระบบไปใช้งานหรือเชื่อมโยงกับระบบอื่นได้ (interoperability) และลดข้อจำกัดในการย้ายหรือเปลี่ยนแปลง IT ผู้ให้บริการหรือพันธมิตร รวมถึงข้อจำกัดในการนำระบบหรือข้อมูลกลับมาดำเนินการเอง 
    (8) การที่บุคคลภายนอกมอบหมายการปฏิบัติงานที่สำคัญให้กับบุคคลอื่นต่อ (sub-contractor to another supplier)</v>
      </c>
      <c r="O47" s="533" t="str" cm="1">
        <f t="array" aca="1" ref="O47" ca="1">IF(INDIRECT("'"&amp;B47&amp;"'!N"&amp;C47)=0,"N/A",INDIRECT("'"&amp;B47&amp;"'!N"&amp;C47))</f>
        <v>Yes/Partial/No</v>
      </c>
      <c r="P47" s="527" t="str" cm="1">
        <f t="array" aca="1" ref="P47" ca="1">IF(INDIRECT("'"&amp;B47&amp;"'!L"&amp;C47)=0,"",INDIRECT("'"&amp;B47&amp;"'!L"&amp;C47))</f>
        <v/>
      </c>
      <c r="Q47" s="527" t="str">
        <f t="shared" ca="1" si="0"/>
        <v/>
      </c>
      <c r="R47" s="563" t="str">
        <f t="shared" ca="1" si="1"/>
        <v>Yes</v>
      </c>
      <c r="S47" s="528" t="s">
        <v>1572</v>
      </c>
      <c r="T47" s="529" t="str">
        <f t="shared" si="2"/>
        <v>X</v>
      </c>
      <c r="U47" s="529" t="str">
        <f t="shared" si="3"/>
        <v/>
      </c>
      <c r="V47" s="529" t="str">
        <f t="shared" si="4"/>
        <v/>
      </c>
      <c r="W47" s="529" t="str">
        <f t="shared" si="5"/>
        <v/>
      </c>
      <c r="X47" s="529" t="str">
        <f t="shared" si="6"/>
        <v/>
      </c>
      <c r="Y47" s="529" t="str">
        <f t="shared" si="7"/>
        <v/>
      </c>
    </row>
    <row r="48" spans="1:25" ht="50.1" x14ac:dyDescent="0.2">
      <c r="A48" s="253" t="s">
        <v>452</v>
      </c>
      <c r="B48" s="253" t="s">
        <v>1581</v>
      </c>
      <c r="C48" s="253">
        <v>18</v>
      </c>
      <c r="D48" s="253" t="s">
        <v>1579</v>
      </c>
      <c r="E48" s="253" t="s">
        <v>332</v>
      </c>
      <c r="F48" s="253" t="s">
        <v>1574</v>
      </c>
      <c r="G48" s="215" t="str" cm="1">
        <f t="array" aca="1" ref="G48" ca="1">IF(INDIRECT("'"&amp;B48&amp;"'!B"&amp;C48)=0,"",INDIRECT("'"&amp;B48&amp;"'!B"&amp;C48))</f>
        <v>x</v>
      </c>
      <c r="H48" s="215" t="str" cm="1">
        <f t="array" aca="1" ref="H48" ca="1">IF(INDIRECT("'"&amp;B48&amp;"'!C"&amp;C48)=0,"",INDIRECT("'"&amp;B48&amp;"'!C"&amp;C48))</f>
        <v/>
      </c>
      <c r="I48" s="215" t="str" cm="1">
        <f t="array" aca="1" ref="I48" ca="1">IF(INDIRECT("'"&amp;B48&amp;"'!D"&amp;C48)=0,"",INDIRECT("'"&amp;B48&amp;"'!D"&amp;C48))</f>
        <v/>
      </c>
      <c r="J48" s="215" t="str" cm="1">
        <f t="array" aca="1" ref="J48" ca="1">IF(INDIRECT("'"&amp;B48&amp;"'!E"&amp;C48)=0,"",INDIRECT("'"&amp;B48&amp;"'!E"&amp;C48))</f>
        <v/>
      </c>
      <c r="K48" s="253" t="str" cm="1">
        <f t="array" aca="1" ref="K48" ca="1">IF(INDIRECT("'"&amp;B48&amp;"'!F"&amp;C48)=0,"N/A",INDIRECT("'"&amp;B48&amp;"'!F"&amp;C48))</f>
        <v>2.2(2)</v>
      </c>
      <c r="L48" s="253" t="str" cm="1">
        <f t="array" aca="1" ref="L48" ca="1">IF(INDIRECT("'"&amp;B48&amp;"'!G"&amp;C48)=0,"N/A",INDIRECT("'"&amp;B48&amp;"'!G"&amp;C48))</f>
        <v>2(9)</v>
      </c>
      <c r="M48" s="253" t="str" cm="1">
        <f t="array" aca="1" ref="M48" ca="1">IF(INDIRECT("'"&amp;B48&amp;"'!H"&amp;C48)=0,"N/A",INDIRECT("'"&amp;B48&amp;"'!H"&amp;C48))</f>
        <v>2.2(2) #2(9)</v>
      </c>
      <c r="N48" s="221" t="str" cm="1">
        <f t="array" aca="1" ref="N48" ca="1">IF(INDIRECT("'"&amp;B48&amp;"'!I"&amp;C48)=0,"N/A",INDIRECT("'"&amp;B48&amp;"'!I"&amp;C48))</f>
        <v>มีการประเมินด้านคุณภาพและความน่าเชื่อถือของบุคคลภายนอก โดยพิจารณาจากประสบการณ์ คุณภาพของบริการและผลงานที่ส่งมอบ ตลอดจนมาตรฐานด้านความปลอดภัย IT ที่เกี่ยวข้องกับสินค้าและบริการ และจัดทำเป็นรายชื่อบุคคลภายนอกที่เชื่อถือได้ (trusted third-party/trusted vendor) เพื่อใช้เป็นส่วนหนึ่งของเกณฑ์การคัดเลือกผู้ให้บริการในอนาคต</v>
      </c>
      <c r="O48" s="533" t="str" cm="1">
        <f t="array" aca="1" ref="O48" ca="1">IF(INDIRECT("'"&amp;B48&amp;"'!N"&amp;C48)=0,"N/A",INDIRECT("'"&amp;B48&amp;"'!N"&amp;C48))</f>
        <v>Yes/Partial/No</v>
      </c>
      <c r="P48" s="527" t="str" cm="1">
        <f t="array" aca="1" ref="P48" ca="1">IF(INDIRECT("'"&amp;B48&amp;"'!L"&amp;C48)=0,"",INDIRECT("'"&amp;B48&amp;"'!L"&amp;C48))</f>
        <v/>
      </c>
      <c r="Q48" s="527" t="str">
        <f t="shared" ca="1" si="0"/>
        <v/>
      </c>
      <c r="R48" s="563" t="str">
        <f t="shared" ca="1" si="1"/>
        <v>Yes</v>
      </c>
      <c r="S48" s="528" t="s">
        <v>1572</v>
      </c>
      <c r="T48" s="529" t="str">
        <f t="shared" si="2"/>
        <v>X</v>
      </c>
      <c r="U48" s="529" t="str">
        <f t="shared" si="3"/>
        <v/>
      </c>
      <c r="V48" s="529" t="str">
        <f t="shared" si="4"/>
        <v/>
      </c>
      <c r="W48" s="529" t="str">
        <f t="shared" si="5"/>
        <v/>
      </c>
      <c r="X48" s="529" t="str">
        <f t="shared" si="6"/>
        <v/>
      </c>
      <c r="Y48" s="529" t="str">
        <f t="shared" si="7"/>
        <v/>
      </c>
    </row>
    <row r="49" spans="1:25" ht="250.45" x14ac:dyDescent="0.2">
      <c r="A49" s="253" t="s">
        <v>457</v>
      </c>
      <c r="B49" s="253" t="s">
        <v>1581</v>
      </c>
      <c r="C49" s="253">
        <v>19</v>
      </c>
      <c r="D49" s="253" t="s">
        <v>1579</v>
      </c>
      <c r="E49" s="253" t="s">
        <v>332</v>
      </c>
      <c r="F49" s="253" t="s">
        <v>1571</v>
      </c>
      <c r="G49" s="215" t="str" cm="1">
        <f t="array" aca="1" ref="G49" ca="1">IF(INDIRECT("'"&amp;B49&amp;"'!B"&amp;C49)=0,"",INDIRECT("'"&amp;B49&amp;"'!B"&amp;C49))</f>
        <v>x</v>
      </c>
      <c r="H49" s="215" t="str" cm="1">
        <f t="array" aca="1" ref="H49" ca="1">IF(INDIRECT("'"&amp;B49&amp;"'!C"&amp;C49)=0,"",INDIRECT("'"&amp;B49&amp;"'!C"&amp;C49))</f>
        <v>x</v>
      </c>
      <c r="I49" s="215" t="str" cm="1">
        <f t="array" aca="1" ref="I49" ca="1">IF(INDIRECT("'"&amp;B49&amp;"'!D"&amp;C49)=0,"",INDIRECT("'"&amp;B49&amp;"'!D"&amp;C49))</f>
        <v>x</v>
      </c>
      <c r="J49" s="215" t="str" cm="1">
        <f t="array" aca="1" ref="J49" ca="1">IF(INDIRECT("'"&amp;B49&amp;"'!E"&amp;C49)=0,"",INDIRECT("'"&amp;B49&amp;"'!E"&amp;C49))</f>
        <v>x</v>
      </c>
      <c r="K49" s="253" t="str" cm="1">
        <f t="array" aca="1" ref="K49" ca="1">IF(INDIRECT("'"&amp;B49&amp;"'!F"&amp;C49)=0,"N/A",INDIRECT("'"&amp;B49&amp;"'!F"&amp;C49))</f>
        <v>2.2(3)</v>
      </c>
      <c r="L49" s="253" cm="1">
        <f t="array" aca="1" ref="L49" ca="1">IF(INDIRECT("'"&amp;B49&amp;"'!G"&amp;C49)=0,"N/A",INDIRECT("'"&amp;B49&amp;"'!G"&amp;C49))</f>
        <v>1</v>
      </c>
      <c r="M49" s="253" t="str" cm="1">
        <f t="array" aca="1" ref="M49" ca="1">IF(INDIRECT("'"&amp;B49&amp;"'!H"&amp;C49)=0,"N/A",INDIRECT("'"&amp;B49&amp;"'!H"&amp;C49))</f>
        <v>2.2(3) #1</v>
      </c>
      <c r="N49" s="221" t="str" cm="1">
        <f t="array" aca="1" ref="N49" ca="1">IF(INDIRECT("'"&amp;B49&amp;"'!I"&amp;C49)=0,"N/A",INDIRECT("'"&amp;B49&amp;"'!I"&amp;C49))</f>
        <v>มีการกำหนดบทบาท หน้าที่ และความรับผิดชอบของผู้ประกอบธุรกิจและบุคคลภายนอกอย่างชัดเจน เป็นลายลักษณ์อักษร และมีการลงนามร่วมกันระหว่างผู้ประกอบธุรกิจและบุคคลภายนอก เช่นการทำสัญญาหรือข้อตกลงการใช้บริการ การเชื่อมต่อ หรือการเข้าถึงข้อมูลจากบุคคลภายนอก เพื่อให้มั่นใจได้ว่าบุคคลภายนอกมีหน้าที่รับผิดชอบในการรักษาความมั่นคงปลอดภัยของระบบ IT ในระดับที่เหมาะสม โดยควรพิจารณาการกำหนดรายละเอียด ดังนี้
    (1) ขอบเขตการให้บริการ การเชื่อมต่อ และการเข้าถึงข้อมูลจากบุคคลภายนอก
    (2) บทบาท หน้าที่ และความรับผิดชอบ
    (3) มาตรฐานขั้นต่ำในการปฏิบัติงานของบุคคลภายนอก 
    (4) ข้อตกลงระดับการให้บริการด้าน IT (SLA) และความรับผิดชอบของบุคคลภายนอกต่อความเสียหายที่เกิดจากบุคคลภายนอก เช่น กรณีการให้บริการที่ไม่เป็นไปตาม SLA ที่กำหนดไว้ เป็นต้น
    (5) การติดตามและรายงานผลการปฏิบัติงานของบุคคลภายนอก 
    (6) รายชื่อ และช่องทางการติดต่อในกรณีเกิดปัญหาเกี่ยวกับการรักษาความมั่นคงปลอดภัยของระบบ IT
    (7) การทำลายข้อมูลเมื่อสิ้นสุดสัญญาหรือข้อตกลง
    (8) เงื่อนไขหรือสิทธิของผู้ประกอบธุรกิจในการเปลี่ยนแปลง ยุติ หรือยกเลิกสัญญาหรือข้อตกลงกับบุคคลภายนอก 
    (9) การจัดให้มีทรัพยากร เช่น บุคลากร ระบบงาน และเทคโนโลยี เป็นต้น ที่สอดรับกับแผนฉุกเฉินด้าน IT ของผู้ประกอบธุรกิจ (Recovery Point Objective (RPO)  Maximum Tolerable Downtime (MTD)  และ Recovery Time Objective (RTO))
โดยมีการประเมินความเสี่ยงและแนวทางควบคุมความเสี่ยง พร้อมทั้งขออนุมัติยกเว้นจากผู้มีอำนาจ หากมีข้อจำกัดในการระบุรายละเอียดและกำหนดเงื่อนไขที่สำคัญลงในข้อตกลงหรือสัญญา</v>
      </c>
      <c r="O49" s="533" t="str" cm="1">
        <f t="array" aca="1" ref="O49" ca="1">IF(INDIRECT("'"&amp;B49&amp;"'!N"&amp;C49)=0,"N/A",INDIRECT("'"&amp;B49&amp;"'!N"&amp;C49))</f>
        <v>Yes/Partial/No</v>
      </c>
      <c r="P49" s="527" t="str" cm="1">
        <f t="array" aca="1" ref="P49" ca="1">IF(INDIRECT("'"&amp;B49&amp;"'!L"&amp;C49)=0,"",INDIRECT("'"&amp;B49&amp;"'!L"&amp;C49))</f>
        <v/>
      </c>
      <c r="Q49" s="527" t="str">
        <f t="shared" ca="1" si="0"/>
        <v/>
      </c>
      <c r="R49" s="563" t="str">
        <f t="shared" ca="1" si="1"/>
        <v>Yes</v>
      </c>
      <c r="S49" s="528" t="s">
        <v>1572</v>
      </c>
      <c r="T49" s="529" t="str">
        <f t="shared" si="2"/>
        <v>X</v>
      </c>
      <c r="U49" s="529" t="str">
        <f t="shared" si="3"/>
        <v/>
      </c>
      <c r="V49" s="529" t="str">
        <f t="shared" si="4"/>
        <v/>
      </c>
      <c r="W49" s="529" t="str">
        <f t="shared" si="5"/>
        <v/>
      </c>
      <c r="X49" s="529" t="str">
        <f t="shared" si="6"/>
        <v/>
      </c>
      <c r="Y49" s="529" t="str">
        <f>IF(ISNUMBER(SEARCH("(RC)",$S49)),"X","")</f>
        <v/>
      </c>
    </row>
    <row r="50" spans="1:25" ht="87.65" x14ac:dyDescent="0.2">
      <c r="A50" s="253" t="s">
        <v>462</v>
      </c>
      <c r="B50" s="253" t="s">
        <v>1581</v>
      </c>
      <c r="C50" s="253">
        <v>20</v>
      </c>
      <c r="D50" s="253" t="s">
        <v>1579</v>
      </c>
      <c r="E50" s="253" t="s">
        <v>332</v>
      </c>
      <c r="F50" s="253" t="s">
        <v>1571</v>
      </c>
      <c r="G50" s="215" t="str" cm="1">
        <f t="array" aca="1" ref="G50" ca="1">IF(INDIRECT("'"&amp;B50&amp;"'!B"&amp;C50)=0,"",INDIRECT("'"&amp;B50&amp;"'!B"&amp;C50))</f>
        <v>x</v>
      </c>
      <c r="H50" s="215" t="str" cm="1">
        <f t="array" aca="1" ref="H50" ca="1">IF(INDIRECT("'"&amp;B50&amp;"'!C"&amp;C50)=0,"",INDIRECT("'"&amp;B50&amp;"'!C"&amp;C50))</f>
        <v>x</v>
      </c>
      <c r="I50" s="215" t="str" cm="1">
        <f t="array" aca="1" ref="I50" ca="1">IF(INDIRECT("'"&amp;B50&amp;"'!D"&amp;C50)=0,"",INDIRECT("'"&amp;B50&amp;"'!D"&amp;C50))</f>
        <v>x</v>
      </c>
      <c r="J50" s="215" t="str" cm="1">
        <f t="array" aca="1" ref="J50" ca="1">IF(INDIRECT("'"&amp;B50&amp;"'!E"&amp;C50)=0,"",INDIRECT("'"&amp;B50&amp;"'!E"&amp;C50))</f>
        <v>x</v>
      </c>
      <c r="K50" s="253" t="str" cm="1">
        <f t="array" aca="1" ref="K50" ca="1">IF(INDIRECT("'"&amp;B50&amp;"'!F"&amp;C50)=0,"N/A",INDIRECT("'"&amp;B50&amp;"'!F"&amp;C50))</f>
        <v>2.2(4)</v>
      </c>
      <c r="L50" s="253" cm="1">
        <f t="array" aca="1" ref="L50" ca="1">IF(INDIRECT("'"&amp;B50&amp;"'!G"&amp;C50)=0,"N/A",INDIRECT("'"&amp;B50&amp;"'!G"&amp;C50))</f>
        <v>1</v>
      </c>
      <c r="M50" s="253" t="str" cm="1">
        <f t="array" aca="1" ref="M50" ca="1">IF(INDIRECT("'"&amp;B50&amp;"'!H"&amp;C50)=0,"N/A",INDIRECT("'"&amp;B50&amp;"'!H"&amp;C50))</f>
        <v>2.2(4) #1</v>
      </c>
      <c r="N50" s="221" t="str" cm="1">
        <f t="array" aca="1" ref="N50" ca="1">IF(INDIRECT("'"&amp;B50&amp;"'!I"&amp;C50)=0,"N/A",INDIRECT("'"&amp;B50&amp;"'!I"&amp;C50))</f>
        <v>ข้อตกลงหรือสัญญาการให้บริการระหว่างผู้ประกอบธุรกิจและบุคคลภายนอกที่เป็นผู้ให้บริการงานด้าน IT รายที่มีนัยสำคัญ มีการระบุสิทธิให้ผู้ประกอบธุรกิจ สำนักงาน และผู้ตรวจสอบภายนอกที่ได้รับการแต่งตั้งจากผู้ประกอบธุรกิจหรือสำนักงาน สามารถเข้าตรวจสอบการดำเนินงานและการควบคุมภายในของบุคคลภายนอกดังกล่าวได้
กรณีที่ไม่สามารถระบุสิทธิข้างต้น การเลือกใช้บุคคลภายนอกจะมีการพิจารณาอย่างรัดกุมและเหมาะสมกับความเสี่ยง เช่น พิจารณาจากผลการตรวจสอบด้าน IT ของบุคคลภายนอกที่ดำเนินการโดยผู้ตรวจสอบภายนอกที่มีความเป็นอิสระและได้มาตรฐานสากล</v>
      </c>
      <c r="O50" s="533" t="str" cm="1">
        <f t="array" aca="1" ref="O50" ca="1">IF(INDIRECT("'"&amp;B50&amp;"'!N"&amp;C50)=0,"N/A",INDIRECT("'"&amp;B50&amp;"'!N"&amp;C50))</f>
        <v>Yes/Partial/No</v>
      </c>
      <c r="P50" s="527" t="str" cm="1">
        <f t="array" aca="1" ref="P50" ca="1">IF(INDIRECT("'"&amp;B50&amp;"'!L"&amp;C50)=0,"",INDIRECT("'"&amp;B50&amp;"'!L"&amp;C50))</f>
        <v/>
      </c>
      <c r="Q50" s="527" t="str">
        <f t="shared" ca="1" si="0"/>
        <v/>
      </c>
      <c r="R50" s="563" t="str">
        <f t="shared" ca="1" si="1"/>
        <v>Yes</v>
      </c>
      <c r="S50" s="528" t="s">
        <v>1572</v>
      </c>
      <c r="T50" s="529" t="str">
        <f t="shared" si="2"/>
        <v>X</v>
      </c>
      <c r="U50" s="529" t="str">
        <f t="shared" si="3"/>
        <v/>
      </c>
      <c r="V50" s="529" t="str">
        <f t="shared" si="4"/>
        <v/>
      </c>
      <c r="W50" s="529" t="str">
        <f t="shared" si="5"/>
        <v/>
      </c>
      <c r="X50" s="529" t="str">
        <f t="shared" si="6"/>
        <v/>
      </c>
      <c r="Y50" s="529" t="str">
        <f t="shared" si="7"/>
        <v/>
      </c>
    </row>
    <row r="51" spans="1:25" ht="37.6" x14ac:dyDescent="0.2">
      <c r="A51" s="253" t="s">
        <v>467</v>
      </c>
      <c r="B51" s="253" t="s">
        <v>1581</v>
      </c>
      <c r="C51" s="253">
        <v>21</v>
      </c>
      <c r="D51" s="253" t="s">
        <v>1579</v>
      </c>
      <c r="E51" s="253" t="s">
        <v>332</v>
      </c>
      <c r="F51" s="253" t="s">
        <v>1571</v>
      </c>
      <c r="G51" s="215" t="str" cm="1">
        <f t="array" aca="1" ref="G51" ca="1">IF(INDIRECT("'"&amp;B51&amp;"'!B"&amp;C51)=0,"",INDIRECT("'"&amp;B51&amp;"'!B"&amp;C51))</f>
        <v>x</v>
      </c>
      <c r="H51" s="215" t="str" cm="1">
        <f t="array" aca="1" ref="H51" ca="1">IF(INDIRECT("'"&amp;B51&amp;"'!C"&amp;C51)=0,"",INDIRECT("'"&amp;B51&amp;"'!C"&amp;C51))</f>
        <v>x</v>
      </c>
      <c r="I51" s="215" t="str" cm="1">
        <f t="array" aca="1" ref="I51" ca="1">IF(INDIRECT("'"&amp;B51&amp;"'!D"&amp;C51)=0,"",INDIRECT("'"&amp;B51&amp;"'!D"&amp;C51))</f>
        <v>x</v>
      </c>
      <c r="J51" s="215" t="str" cm="1">
        <f t="array" aca="1" ref="J51" ca="1">IF(INDIRECT("'"&amp;B51&amp;"'!E"&amp;C51)=0,"",INDIRECT("'"&amp;B51&amp;"'!E"&amp;C51))</f>
        <v>x</v>
      </c>
      <c r="K51" s="253" t="str" cm="1">
        <f t="array" aca="1" ref="K51" ca="1">IF(INDIRECT("'"&amp;B51&amp;"'!F"&amp;C51)=0,"N/A",INDIRECT("'"&amp;B51&amp;"'!F"&amp;C51))</f>
        <v>2.2(5)</v>
      </c>
      <c r="L51" s="253" cm="1">
        <f t="array" aca="1" ref="L51" ca="1">IF(INDIRECT("'"&amp;B51&amp;"'!G"&amp;C51)=0,"N/A",INDIRECT("'"&amp;B51&amp;"'!G"&amp;C51))</f>
        <v>1</v>
      </c>
      <c r="M51" s="253" t="str" cm="1">
        <f t="array" aca="1" ref="M51" ca="1">IF(INDIRECT("'"&amp;B51&amp;"'!H"&amp;C51)=0,"N/A",INDIRECT("'"&amp;B51&amp;"'!H"&amp;C51))</f>
        <v>2.2(5) #1</v>
      </c>
      <c r="N51" s="221" t="str" cm="1">
        <f t="array" aca="1" ref="N51" ca="1">IF(INDIRECT("'"&amp;B51&amp;"'!I"&amp;C51)=0,"N/A",INDIRECT("'"&amp;B51&amp;"'!I"&amp;C51))</f>
        <v>มีการจัดทำข้อตกลงการไม่เปิดเผยความลับ (non-disclosure agreement) สำหรับบุคคลภายนอกหรือผู้รับดำเนินการช่วงของบุคคลภายนอก ในกรณีที่บุคคลดังกล่าวสามารถเข้าถึงข้อมูลสำคัญของผู้ประกอบธุรกิจหรือข้อมูลของลูกค้าที่อยู่ในรูปแบบอิเล็กทรอนิกส์และอยู่ภายใต้การควบคุมดูแลของผู้ประกอบธุรกิจ</v>
      </c>
      <c r="O51" s="533" t="str" cm="1">
        <f t="array" aca="1" ref="O51" ca="1">IF(INDIRECT("'"&amp;B51&amp;"'!N"&amp;C51)=0,"N/A",INDIRECT("'"&amp;B51&amp;"'!N"&amp;C51))</f>
        <v>Yes/Partial/No</v>
      </c>
      <c r="P51" s="527" t="str" cm="1">
        <f t="array" aca="1" ref="P51" ca="1">IF(INDIRECT("'"&amp;B51&amp;"'!L"&amp;C51)=0,"",INDIRECT("'"&amp;B51&amp;"'!L"&amp;C51))</f>
        <v/>
      </c>
      <c r="Q51" s="527" t="str">
        <f t="shared" ca="1" si="0"/>
        <v/>
      </c>
      <c r="R51" s="563" t="str">
        <f t="shared" ca="1" si="1"/>
        <v>Yes</v>
      </c>
      <c r="S51" s="528" t="s">
        <v>1572</v>
      </c>
      <c r="T51" s="529" t="str">
        <f t="shared" si="2"/>
        <v>X</v>
      </c>
      <c r="U51" s="529" t="str">
        <f>IF(ISNUMBER(SEARCH("(ID)",$S51)),"X","")</f>
        <v/>
      </c>
      <c r="V51" s="529" t="str">
        <f t="shared" si="4"/>
        <v/>
      </c>
      <c r="W51" s="529" t="str">
        <f t="shared" si="5"/>
        <v/>
      </c>
      <c r="X51" s="529" t="str">
        <f t="shared" si="6"/>
        <v/>
      </c>
      <c r="Y51" s="529" t="str">
        <f t="shared" si="7"/>
        <v/>
      </c>
    </row>
    <row r="52" spans="1:25" ht="37.6" x14ac:dyDescent="0.2">
      <c r="A52" s="253" t="s">
        <v>472</v>
      </c>
      <c r="B52" s="253" t="s">
        <v>1581</v>
      </c>
      <c r="C52" s="253">
        <v>22</v>
      </c>
      <c r="D52" s="253" t="s">
        <v>1579</v>
      </c>
      <c r="E52" s="253" t="s">
        <v>332</v>
      </c>
      <c r="F52" s="253" t="s">
        <v>1571</v>
      </c>
      <c r="G52" s="215" t="str" cm="1">
        <f t="array" aca="1" ref="G52" ca="1">IF(INDIRECT("'"&amp;B52&amp;"'!B"&amp;C52)=0,"",INDIRECT("'"&amp;B52&amp;"'!B"&amp;C52))</f>
        <v>x</v>
      </c>
      <c r="H52" s="215" t="str" cm="1">
        <f t="array" aca="1" ref="H52" ca="1">IF(INDIRECT("'"&amp;B52&amp;"'!C"&amp;C52)=0,"",INDIRECT("'"&amp;B52&amp;"'!C"&amp;C52))</f>
        <v>x</v>
      </c>
      <c r="I52" s="215" t="str" cm="1">
        <f t="array" aca="1" ref="I52" ca="1">IF(INDIRECT("'"&amp;B52&amp;"'!D"&amp;C52)=0,"",INDIRECT("'"&amp;B52&amp;"'!D"&amp;C52))</f>
        <v>x</v>
      </c>
      <c r="J52" s="215" t="str" cm="1">
        <f t="array" aca="1" ref="J52" ca="1">IF(INDIRECT("'"&amp;B52&amp;"'!E"&amp;C52)=0,"",INDIRECT("'"&amp;B52&amp;"'!E"&amp;C52))</f>
        <v>x</v>
      </c>
      <c r="K52" s="253" t="str" cm="1">
        <f t="array" aca="1" ref="K52" ca="1">IF(INDIRECT("'"&amp;B52&amp;"'!F"&amp;C52)=0,"N/A",INDIRECT("'"&amp;B52&amp;"'!F"&amp;C52))</f>
        <v>2.2(6)</v>
      </c>
      <c r="L52" s="253" t="str" cm="1">
        <f t="array" aca="1" ref="L52" ca="1">IF(INDIRECT("'"&amp;B52&amp;"'!G"&amp;C52)=0,"N/A",INDIRECT("'"&amp;B52&amp;"'!G"&amp;C52))</f>
        <v>1(1)</v>
      </c>
      <c r="M52" s="253" t="str" cm="1">
        <f t="array" aca="1" ref="M52" ca="1">IF(INDIRECT("'"&amp;B52&amp;"'!H"&amp;C52)=0,"N/A",INDIRECT("'"&amp;B52&amp;"'!H"&amp;C52))</f>
        <v>2.2(6) #1(1)</v>
      </c>
      <c r="N52" s="221" t="str" cm="1">
        <f t="array" aca="1" ref="N52" ca="1">IF(INDIRECT("'"&amp;B52&amp;"'!I"&amp;C52)=0,"N/A",INDIRECT("'"&amp;B52&amp;"'!I"&amp;C52))</f>
        <v>มีการกำหนดผู้รับผิดชอบในการกำกับดูแล และติดตามผลการปฏิบัติงานของบุคคลภายนอกอย่างต่อเนื่อง โดยพิจารณาตามขอบเขต ระดับความเสี่ยงและความมีนัยสำคัญของการใช้บริการ การเชื่อมต่อ หรือการเข้าถึงข้อมูลจากบุคคลภายนอก</v>
      </c>
      <c r="O52" s="533" t="str" cm="1">
        <f t="array" aca="1" ref="O52" ca="1">IF(INDIRECT("'"&amp;B52&amp;"'!N"&amp;C52)=0,"N/A",INDIRECT("'"&amp;B52&amp;"'!N"&amp;C52))</f>
        <v>Yes/Partial/No</v>
      </c>
      <c r="P52" s="527" t="str" cm="1">
        <f t="array" aca="1" ref="P52" ca="1">IF(INDIRECT("'"&amp;B52&amp;"'!L"&amp;C52)=0,"",INDIRECT("'"&amp;B52&amp;"'!L"&amp;C52))</f>
        <v/>
      </c>
      <c r="Q52" s="527" t="str">
        <f t="shared" ca="1" si="0"/>
        <v/>
      </c>
      <c r="R52" s="563" t="str">
        <f t="shared" ca="1" si="1"/>
        <v>Yes</v>
      </c>
      <c r="S52" s="528" t="s">
        <v>1572</v>
      </c>
      <c r="T52" s="529" t="str">
        <f t="shared" si="2"/>
        <v>X</v>
      </c>
      <c r="U52" s="529" t="str">
        <f t="shared" si="3"/>
        <v/>
      </c>
      <c r="V52" s="529" t="str">
        <f t="shared" si="4"/>
        <v/>
      </c>
      <c r="W52" s="529" t="str">
        <f t="shared" si="5"/>
        <v/>
      </c>
      <c r="X52" s="529" t="str">
        <f t="shared" si="6"/>
        <v/>
      </c>
      <c r="Y52" s="529" t="str">
        <f t="shared" si="7"/>
        <v/>
      </c>
    </row>
    <row r="53" spans="1:25" ht="75.150000000000006" x14ac:dyDescent="0.2">
      <c r="A53" s="253" t="s">
        <v>478</v>
      </c>
      <c r="B53" s="253" t="s">
        <v>1581</v>
      </c>
      <c r="C53" s="253">
        <v>23</v>
      </c>
      <c r="D53" s="253" t="s">
        <v>1579</v>
      </c>
      <c r="E53" s="253" t="s">
        <v>332</v>
      </c>
      <c r="F53" s="253" t="s">
        <v>1571</v>
      </c>
      <c r="G53" s="215" t="str" cm="1">
        <f t="array" aca="1" ref="G53" ca="1">IF(INDIRECT("'"&amp;B53&amp;"'!B"&amp;C53)=0,"",INDIRECT("'"&amp;B53&amp;"'!B"&amp;C53))</f>
        <v>x</v>
      </c>
      <c r="H53" s="215" t="str" cm="1">
        <f t="array" aca="1" ref="H53" ca="1">IF(INDIRECT("'"&amp;B53&amp;"'!C"&amp;C53)=0,"",INDIRECT("'"&amp;B53&amp;"'!C"&amp;C53))</f>
        <v>x</v>
      </c>
      <c r="I53" s="215" t="str" cm="1">
        <f t="array" aca="1" ref="I53" ca="1">IF(INDIRECT("'"&amp;B53&amp;"'!D"&amp;C53)=0,"",INDIRECT("'"&amp;B53&amp;"'!D"&amp;C53))</f>
        <v>x</v>
      </c>
      <c r="J53" s="215" t="str" cm="1">
        <f t="array" aca="1" ref="J53" ca="1">IF(INDIRECT("'"&amp;B53&amp;"'!E"&amp;C53)=0,"",INDIRECT("'"&amp;B53&amp;"'!E"&amp;C53))</f>
        <v>x</v>
      </c>
      <c r="K53" s="253" t="str" cm="1">
        <f t="array" aca="1" ref="K53" ca="1">IF(INDIRECT("'"&amp;B53&amp;"'!F"&amp;C53)=0,"N/A",INDIRECT("'"&amp;B53&amp;"'!F"&amp;C53))</f>
        <v>2.2(6)</v>
      </c>
      <c r="L53" s="253" t="str" cm="1">
        <f t="array" aca="1" ref="L53" ca="1">IF(INDIRECT("'"&amp;B53&amp;"'!G"&amp;C53)=0,"N/A",INDIRECT("'"&amp;B53&amp;"'!G"&amp;C53))</f>
        <v>1(2)</v>
      </c>
      <c r="M53" s="253" t="str" cm="1">
        <f t="array" aca="1" ref="M53" ca="1">IF(INDIRECT("'"&amp;B53&amp;"'!H"&amp;C53)=0,"N/A",INDIRECT("'"&amp;B53&amp;"'!H"&amp;C53))</f>
        <v>2.2(6) #1(2)</v>
      </c>
      <c r="N53" s="221" t="str" cm="1">
        <f t="array" aca="1" ref="N53" ca="1">IF(INDIRECT("'"&amp;B53&amp;"'!I"&amp;C53)=0,"N/A",INDIRECT("'"&amp;B53&amp;"'!I"&amp;C53))</f>
        <v>มึการจัดทำทะเบียนบุคคลภายนอกเพื่อใช้ในการบริหารจัดการความเสี่ยง ติดตามและตรวจสอบการปฏิบัติงานของบุคคลภายนอกได้อย่างครบถ้วนต่อเนื่อง โดยมีรายละเอียดครอบคลุม 
    (1) ชื่อบุคคลภายนอก
    (2) รายละเอียดของการใช้บริการ การเชื่อมต่อ หรือการเข้าถึงข้อมูลจากบุคคลภายนอก
    (3) ระดับความเสี่ยงและระดับความมีนัยสำคัญ
    (4) วันเริ่มต้นและสิ้นสุดสัญญาหรือข้อตกลง</v>
      </c>
      <c r="O53" s="533" t="str" cm="1">
        <f t="array" aca="1" ref="O53" ca="1">IF(INDIRECT("'"&amp;B53&amp;"'!N"&amp;C53)=0,"N/A",INDIRECT("'"&amp;B53&amp;"'!N"&amp;C53))</f>
        <v>Yes/Partial/No</v>
      </c>
      <c r="P53" s="527" t="str" cm="1">
        <f t="array" aca="1" ref="P53" ca="1">IF(INDIRECT("'"&amp;B53&amp;"'!L"&amp;C53)=0,"",INDIRECT("'"&amp;B53&amp;"'!L"&amp;C53))</f>
        <v/>
      </c>
      <c r="Q53" s="527" t="str">
        <f t="shared" ca="1" si="0"/>
        <v/>
      </c>
      <c r="R53" s="563" t="str">
        <f t="shared" ca="1" si="1"/>
        <v>Yes</v>
      </c>
      <c r="S53" s="528" t="s">
        <v>1582</v>
      </c>
      <c r="T53" s="529" t="str">
        <f t="shared" si="2"/>
        <v>X</v>
      </c>
      <c r="U53" s="529" t="str">
        <f t="shared" si="3"/>
        <v/>
      </c>
      <c r="V53" s="529" t="str">
        <f t="shared" si="4"/>
        <v/>
      </c>
      <c r="W53" s="529" t="str">
        <f t="shared" si="5"/>
        <v/>
      </c>
      <c r="X53" s="529" t="str">
        <f t="shared" si="6"/>
        <v/>
      </c>
      <c r="Y53" s="529" t="str">
        <f t="shared" si="7"/>
        <v/>
      </c>
    </row>
    <row r="54" spans="1:25" ht="25.05" x14ac:dyDescent="0.2">
      <c r="A54" s="253" t="s">
        <v>483</v>
      </c>
      <c r="B54" s="253" t="s">
        <v>1581</v>
      </c>
      <c r="C54" s="253">
        <v>24</v>
      </c>
      <c r="D54" s="253" t="s">
        <v>1579</v>
      </c>
      <c r="E54" s="253" t="s">
        <v>332</v>
      </c>
      <c r="F54" s="253" t="s">
        <v>1571</v>
      </c>
      <c r="G54" s="215" t="str" cm="1">
        <f t="array" aca="1" ref="G54" ca="1">IF(INDIRECT("'"&amp;B54&amp;"'!B"&amp;C54)=0,"",INDIRECT("'"&amp;B54&amp;"'!B"&amp;C54))</f>
        <v>x</v>
      </c>
      <c r="H54" s="215" t="str" cm="1">
        <f t="array" aca="1" ref="H54" ca="1">IF(INDIRECT("'"&amp;B54&amp;"'!C"&amp;C54)=0,"",INDIRECT("'"&amp;B54&amp;"'!C"&amp;C54))</f>
        <v>x</v>
      </c>
      <c r="I54" s="215" t="str" cm="1">
        <f t="array" aca="1" ref="I54" ca="1">IF(INDIRECT("'"&amp;B54&amp;"'!D"&amp;C54)=0,"",INDIRECT("'"&amp;B54&amp;"'!D"&amp;C54))</f>
        <v>x</v>
      </c>
      <c r="J54" s="215" t="str" cm="1">
        <f t="array" aca="1" ref="J54" ca="1">IF(INDIRECT("'"&amp;B54&amp;"'!E"&amp;C54)=0,"",INDIRECT("'"&amp;B54&amp;"'!E"&amp;C54))</f>
        <v>x</v>
      </c>
      <c r="K54" s="253" t="str" cm="1">
        <f t="array" aca="1" ref="K54" ca="1">IF(INDIRECT("'"&amp;B54&amp;"'!F"&amp;C54)=0,"N/A",INDIRECT("'"&amp;B54&amp;"'!F"&amp;C54))</f>
        <v>2.2(6)</v>
      </c>
      <c r="L54" s="253" t="str" cm="1">
        <f t="array" aca="1" ref="L54" ca="1">IF(INDIRECT("'"&amp;B54&amp;"'!G"&amp;C54)=0,"N/A",INDIRECT("'"&amp;B54&amp;"'!G"&amp;C54))</f>
        <v>1(3)</v>
      </c>
      <c r="M54" s="253" t="str" cm="1">
        <f t="array" aca="1" ref="M54" ca="1">IF(INDIRECT("'"&amp;B54&amp;"'!H"&amp;C54)=0,"N/A",INDIRECT("'"&amp;B54&amp;"'!H"&amp;C54))</f>
        <v>2.2(6) #1(3)</v>
      </c>
      <c r="N54" s="221" t="str" cm="1">
        <f t="array" aca="1" ref="N54" ca="1">IF(INDIRECT("'"&amp;B54&amp;"'!I"&amp;C54)=0,"N/A",INDIRECT("'"&amp;B54&amp;"'!I"&amp;C54))</f>
        <v>มีการกำหนดมาตรการควบคุมและติดตามสิทธิการเข้าถึงข้อมูลสารสนเทศของบุคคลภายนอกอย่างสม่ำเสมอ เพื่อให้สิทธิดังกล่าวเป็นไปตามหลักความจำเป็นต้องรู้ (need-to-know basis)</v>
      </c>
      <c r="O54" s="533" t="str" cm="1">
        <f t="array" aca="1" ref="O54" ca="1">IF(INDIRECT("'"&amp;B54&amp;"'!N"&amp;C54)=0,"N/A",INDIRECT("'"&amp;B54&amp;"'!N"&amp;C54))</f>
        <v>Yes/Partial/No</v>
      </c>
      <c r="P54" s="527" t="str" cm="1">
        <f t="array" aca="1" ref="P54" ca="1">IF(INDIRECT("'"&amp;B54&amp;"'!L"&amp;C54)=0,"",INDIRECT("'"&amp;B54&amp;"'!L"&amp;C54))</f>
        <v/>
      </c>
      <c r="Q54" s="527" t="str">
        <f t="shared" ca="1" si="0"/>
        <v/>
      </c>
      <c r="R54" s="563" t="str">
        <f t="shared" ca="1" si="1"/>
        <v>Yes</v>
      </c>
      <c r="S54" s="528" t="s">
        <v>1572</v>
      </c>
      <c r="T54" s="529" t="str">
        <f t="shared" si="2"/>
        <v>X</v>
      </c>
      <c r="U54" s="529" t="str">
        <f t="shared" si="3"/>
        <v/>
      </c>
      <c r="V54" s="529" t="str">
        <f t="shared" si="4"/>
        <v/>
      </c>
      <c r="W54" s="529" t="str">
        <f t="shared" si="5"/>
        <v/>
      </c>
      <c r="X54" s="529" t="str">
        <f t="shared" si="6"/>
        <v/>
      </c>
      <c r="Y54" s="529" t="str">
        <f t="shared" si="7"/>
        <v/>
      </c>
    </row>
    <row r="55" spans="1:25" ht="25.05" x14ac:dyDescent="0.2">
      <c r="A55" s="253" t="s">
        <v>488</v>
      </c>
      <c r="B55" s="253" t="s">
        <v>1581</v>
      </c>
      <c r="C55" s="253">
        <v>25</v>
      </c>
      <c r="D55" s="253" t="s">
        <v>1579</v>
      </c>
      <c r="E55" s="253" t="s">
        <v>332</v>
      </c>
      <c r="F55" s="253" t="s">
        <v>1571</v>
      </c>
      <c r="G55" s="215" t="str" cm="1">
        <f t="array" aca="1" ref="G55" ca="1">IF(INDIRECT("'"&amp;B55&amp;"'!B"&amp;C55)=0,"",INDIRECT("'"&amp;B55&amp;"'!B"&amp;C55))</f>
        <v>x</v>
      </c>
      <c r="H55" s="215" t="str" cm="1">
        <f t="array" aca="1" ref="H55" ca="1">IF(INDIRECT("'"&amp;B55&amp;"'!C"&amp;C55)=0,"",INDIRECT("'"&amp;B55&amp;"'!C"&amp;C55))</f>
        <v>x</v>
      </c>
      <c r="I55" s="215" t="str" cm="1">
        <f t="array" aca="1" ref="I55" ca="1">IF(INDIRECT("'"&amp;B55&amp;"'!D"&amp;C55)=0,"",INDIRECT("'"&amp;B55&amp;"'!D"&amp;C55))</f>
        <v>x</v>
      </c>
      <c r="J55" s="215" t="str" cm="1">
        <f t="array" aca="1" ref="J55" ca="1">IF(INDIRECT("'"&amp;B55&amp;"'!E"&amp;C55)=0,"",INDIRECT("'"&amp;B55&amp;"'!E"&amp;C55))</f>
        <v>x</v>
      </c>
      <c r="K55" s="253" t="str" cm="1">
        <f t="array" aca="1" ref="K55" ca="1">IF(INDIRECT("'"&amp;B55&amp;"'!F"&amp;C55)=0,"N/A",INDIRECT("'"&amp;B55&amp;"'!F"&amp;C55))</f>
        <v>2.2(6)</v>
      </c>
      <c r="L55" s="253" t="str" cm="1">
        <f t="array" aca="1" ref="L55" ca="1">IF(INDIRECT("'"&amp;B55&amp;"'!G"&amp;C55)=0,"N/A",INDIRECT("'"&amp;B55&amp;"'!G"&amp;C55))</f>
        <v>1(4)</v>
      </c>
      <c r="M55" s="253" t="str" cm="1">
        <f t="array" aca="1" ref="M55" ca="1">IF(INDIRECT("'"&amp;B55&amp;"'!H"&amp;C55)=0,"N/A",INDIRECT("'"&amp;B55&amp;"'!H"&amp;C55))</f>
        <v>2.2(6) #1(4)</v>
      </c>
      <c r="N55" s="221" t="str" cm="1">
        <f t="array" aca="1" ref="N55" ca="1">IF(INDIRECT("'"&amp;B55&amp;"'!I"&amp;C55)=0,"N/A",INDIRECT("'"&amp;B55&amp;"'!I"&amp;C55))</f>
        <v>มีการกำหนดให้บุคคลภายนอกรายงานเหตุการณ์ผิดปกติที่เกิดขึ้นระหว่างการดำเนินงานที่เกี่ยวข้องให้ผู้ประกอบธุรกิจได้รับทราบอย่างทันการณ์</v>
      </c>
      <c r="O55" s="533" t="str" cm="1">
        <f t="array" aca="1" ref="O55" ca="1">IF(INDIRECT("'"&amp;B55&amp;"'!N"&amp;C55)=0,"N/A",INDIRECT("'"&amp;B55&amp;"'!N"&amp;C55))</f>
        <v>Yes/Partial/No</v>
      </c>
      <c r="P55" s="527" t="str" cm="1">
        <f t="array" aca="1" ref="P55" ca="1">IF(INDIRECT("'"&amp;B55&amp;"'!L"&amp;C55)=0,"",INDIRECT("'"&amp;B55&amp;"'!L"&amp;C55))</f>
        <v/>
      </c>
      <c r="Q55" s="527" t="str">
        <f t="shared" ca="1" si="0"/>
        <v/>
      </c>
      <c r="R55" s="563" t="str">
        <f t="shared" ca="1" si="1"/>
        <v>Yes</v>
      </c>
      <c r="S55" s="528" t="s">
        <v>1572</v>
      </c>
      <c r="T55" s="529" t="str">
        <f t="shared" si="2"/>
        <v>X</v>
      </c>
      <c r="U55" s="529" t="str">
        <f t="shared" si="3"/>
        <v/>
      </c>
      <c r="V55" s="529" t="str">
        <f t="shared" si="4"/>
        <v/>
      </c>
      <c r="W55" s="529" t="str">
        <f t="shared" si="5"/>
        <v/>
      </c>
      <c r="X55" s="529" t="str">
        <f t="shared" si="6"/>
        <v/>
      </c>
      <c r="Y55" s="529" t="str">
        <f t="shared" si="7"/>
        <v/>
      </c>
    </row>
    <row r="56" spans="1:25" ht="37.6" x14ac:dyDescent="0.2">
      <c r="A56" s="253" t="s">
        <v>493</v>
      </c>
      <c r="B56" s="253" t="s">
        <v>1581</v>
      </c>
      <c r="C56" s="253">
        <v>26</v>
      </c>
      <c r="D56" s="253" t="s">
        <v>1579</v>
      </c>
      <c r="E56" s="253" t="s">
        <v>332</v>
      </c>
      <c r="F56" s="253" t="s">
        <v>1571</v>
      </c>
      <c r="G56" s="215" t="str" cm="1">
        <f t="array" aca="1" ref="G56" ca="1">IF(INDIRECT("'"&amp;B56&amp;"'!B"&amp;C56)=0,"",INDIRECT("'"&amp;B56&amp;"'!B"&amp;C56))</f>
        <v>x</v>
      </c>
      <c r="H56" s="215" t="str" cm="1">
        <f t="array" aca="1" ref="H56" ca="1">IF(INDIRECT("'"&amp;B56&amp;"'!C"&amp;C56)=0,"",INDIRECT("'"&amp;B56&amp;"'!C"&amp;C56))</f>
        <v>x</v>
      </c>
      <c r="I56" s="215" t="str" cm="1">
        <f t="array" aca="1" ref="I56" ca="1">IF(INDIRECT("'"&amp;B56&amp;"'!D"&amp;C56)=0,"",INDIRECT("'"&amp;B56&amp;"'!D"&amp;C56))</f>
        <v>x</v>
      </c>
      <c r="J56" s="215" t="str" cm="1">
        <f t="array" aca="1" ref="J56" ca="1">IF(INDIRECT("'"&amp;B56&amp;"'!E"&amp;C56)=0,"",INDIRECT("'"&amp;B56&amp;"'!E"&amp;C56))</f>
        <v>x</v>
      </c>
      <c r="K56" s="253" t="str" cm="1">
        <f t="array" aca="1" ref="K56" ca="1">IF(INDIRECT("'"&amp;B56&amp;"'!F"&amp;C56)=0,"N/A",INDIRECT("'"&amp;B56&amp;"'!F"&amp;C56))</f>
        <v>2.2(6)</v>
      </c>
      <c r="L56" s="253" t="str" cm="1">
        <f t="array" aca="1" ref="L56" ca="1">IF(INDIRECT("'"&amp;B56&amp;"'!G"&amp;C56)=0,"N/A",INDIRECT("'"&amp;B56&amp;"'!G"&amp;C56))</f>
        <v>1(5)</v>
      </c>
      <c r="M56" s="253" t="str" cm="1">
        <f t="array" aca="1" ref="M56" ca="1">IF(INDIRECT("'"&amp;B56&amp;"'!H"&amp;C56)=0,"N/A",INDIRECT("'"&amp;B56&amp;"'!H"&amp;C56))</f>
        <v>2.2(6) #1(5)</v>
      </c>
      <c r="N56" s="221" t="str" cm="1">
        <f t="array" aca="1" ref="N56" ca="1">IF(INDIRECT("'"&amp;B56&amp;"'!I"&amp;C56)=0,"N/A",INDIRECT("'"&amp;B56&amp;"'!I"&amp;C56))</f>
        <v>มีการประเมินผลการปฏิบัติงานหรือผลการให้บริการของบุคคลภายนอก ทั้งในด้านประสิทธิภาพของบริการ การรักษา ความมั่นคงปลอดภัยด้าน IT และการปฏิบัติตามกฎหมายที่เกี่ยวข้อง เมื่อจะต่อสัญญาหรือเมื่อถึงรอบระยะเวลา ที่ผู้ประกอบธุรกิจกำหนด</v>
      </c>
      <c r="O56" s="533" t="str" cm="1">
        <f t="array" aca="1" ref="O56" ca="1">IF(INDIRECT("'"&amp;B56&amp;"'!N"&amp;C56)=0,"N/A",INDIRECT("'"&amp;B56&amp;"'!N"&amp;C56))</f>
        <v>Yes/Partial/No</v>
      </c>
      <c r="P56" s="527" t="str" cm="1">
        <f t="array" aca="1" ref="P56" ca="1">IF(INDIRECT("'"&amp;B56&amp;"'!L"&amp;C56)=0,"",INDIRECT("'"&amp;B56&amp;"'!L"&amp;C56))</f>
        <v/>
      </c>
      <c r="Q56" s="527" t="str">
        <f t="shared" ca="1" si="0"/>
        <v/>
      </c>
      <c r="R56" s="563" t="str">
        <f t="shared" ca="1" si="1"/>
        <v>Yes</v>
      </c>
      <c r="S56" s="528" t="s">
        <v>1572</v>
      </c>
      <c r="T56" s="529" t="str">
        <f>IF(ISNUMBER(SEARCH("(GV)",$S56)),"X","")</f>
        <v>X</v>
      </c>
      <c r="U56" s="529" t="str">
        <f t="shared" si="3"/>
        <v/>
      </c>
      <c r="V56" s="529" t="str">
        <f t="shared" si="4"/>
        <v/>
      </c>
      <c r="W56" s="529" t="str">
        <f t="shared" si="5"/>
        <v/>
      </c>
      <c r="X56" s="529" t="str">
        <f t="shared" si="6"/>
        <v/>
      </c>
      <c r="Y56" s="529" t="str">
        <f t="shared" si="7"/>
        <v/>
      </c>
    </row>
    <row r="57" spans="1:25" x14ac:dyDescent="0.2">
      <c r="A57" s="253" t="s">
        <v>498</v>
      </c>
      <c r="B57" s="253" t="s">
        <v>1581</v>
      </c>
      <c r="C57" s="253">
        <v>27</v>
      </c>
      <c r="D57" s="253" t="s">
        <v>1579</v>
      </c>
      <c r="E57" s="253" t="s">
        <v>332</v>
      </c>
      <c r="F57" s="253" t="s">
        <v>1571</v>
      </c>
      <c r="G57" s="215" t="str" cm="1">
        <f t="array" aca="1" ref="G57" ca="1">IF(INDIRECT("'"&amp;B57&amp;"'!B"&amp;C57)=0,"",INDIRECT("'"&amp;B57&amp;"'!B"&amp;C57))</f>
        <v>x</v>
      </c>
      <c r="H57" s="215" t="str" cm="1">
        <f t="array" aca="1" ref="H57" ca="1">IF(INDIRECT("'"&amp;B57&amp;"'!C"&amp;C57)=0,"",INDIRECT("'"&amp;B57&amp;"'!C"&amp;C57))</f>
        <v>x</v>
      </c>
      <c r="I57" s="215" t="str" cm="1">
        <f t="array" aca="1" ref="I57" ca="1">IF(INDIRECT("'"&amp;B57&amp;"'!D"&amp;C57)=0,"",INDIRECT("'"&amp;B57&amp;"'!D"&amp;C57))</f>
        <v>x</v>
      </c>
      <c r="J57" s="215" t="str" cm="1">
        <f t="array" aca="1" ref="J57" ca="1">IF(INDIRECT("'"&amp;B57&amp;"'!E"&amp;C57)=0,"",INDIRECT("'"&amp;B57&amp;"'!E"&amp;C57))</f>
        <v>x</v>
      </c>
      <c r="K57" s="253" t="str" cm="1">
        <f t="array" aca="1" ref="K57" ca="1">IF(INDIRECT("'"&amp;B57&amp;"'!F"&amp;C57)=0,"N/A",INDIRECT("'"&amp;B57&amp;"'!F"&amp;C57))</f>
        <v>2.2(6)</v>
      </c>
      <c r="L57" s="253" t="str" cm="1">
        <f t="array" aca="1" ref="L57" ca="1">IF(INDIRECT("'"&amp;B57&amp;"'!G"&amp;C57)=0,"N/A",INDIRECT("'"&amp;B57&amp;"'!G"&amp;C57))</f>
        <v>1(6)</v>
      </c>
      <c r="M57" s="253" t="str" cm="1">
        <f t="array" aca="1" ref="M57" ca="1">IF(INDIRECT("'"&amp;B57&amp;"'!H"&amp;C57)=0,"N/A",INDIRECT("'"&amp;B57&amp;"'!H"&amp;C57))</f>
        <v>2.2(6) #1(6)</v>
      </c>
      <c r="N57" s="221" t="str" cm="1">
        <f t="array" aca="1" ref="N57" ca="1">IF(INDIRECT("'"&amp;B57&amp;"'!I"&amp;C57)=0,"N/A",INDIRECT("'"&amp;B57&amp;"'!I"&amp;C57))</f>
        <v>มีการทบทวนคุณสมบัติบุคคลภายนอกอย่างสม่ำเสมอ เพื่อให้มั่นใจว่าบุคคลภายนอกยังคงมีคุณสมบัติที่เหมาะสม</v>
      </c>
      <c r="O57" s="533" t="str" cm="1">
        <f t="array" aca="1" ref="O57" ca="1">IF(INDIRECT("'"&amp;B57&amp;"'!N"&amp;C57)=0,"N/A",INDIRECT("'"&amp;B57&amp;"'!N"&amp;C57))</f>
        <v>Yes/Partial/No</v>
      </c>
      <c r="P57" s="527" t="str" cm="1">
        <f t="array" aca="1" ref="P57" ca="1">IF(INDIRECT("'"&amp;B57&amp;"'!L"&amp;C57)=0,"",INDIRECT("'"&amp;B57&amp;"'!L"&amp;C57))</f>
        <v/>
      </c>
      <c r="Q57" s="527" t="str">
        <f t="shared" ca="1" si="0"/>
        <v/>
      </c>
      <c r="R57" s="563" t="str">
        <f t="shared" ca="1" si="1"/>
        <v>Yes</v>
      </c>
      <c r="S57" s="528" t="s">
        <v>1572</v>
      </c>
      <c r="T57" s="529" t="str">
        <f t="shared" si="2"/>
        <v>X</v>
      </c>
      <c r="U57" s="529" t="str">
        <f t="shared" si="3"/>
        <v/>
      </c>
      <c r="V57" s="529" t="str">
        <f t="shared" si="4"/>
        <v/>
      </c>
      <c r="W57" s="529" t="str">
        <f t="shared" si="5"/>
        <v/>
      </c>
      <c r="X57" s="529" t="str">
        <f t="shared" si="6"/>
        <v/>
      </c>
      <c r="Y57" s="529" t="str">
        <f t="shared" si="7"/>
        <v/>
      </c>
    </row>
    <row r="58" spans="1:25" ht="37.6" x14ac:dyDescent="0.2">
      <c r="A58" s="253" t="s">
        <v>503</v>
      </c>
      <c r="B58" s="253" t="s">
        <v>1581</v>
      </c>
      <c r="C58" s="253">
        <v>28</v>
      </c>
      <c r="D58" s="253" t="s">
        <v>1579</v>
      </c>
      <c r="E58" s="253" t="s">
        <v>332</v>
      </c>
      <c r="F58" s="253" t="s">
        <v>1571</v>
      </c>
      <c r="G58" s="215" t="str" cm="1">
        <f t="array" aca="1" ref="G58" ca="1">IF(INDIRECT("'"&amp;B58&amp;"'!B"&amp;C58)=0,"",INDIRECT("'"&amp;B58&amp;"'!B"&amp;C58))</f>
        <v>x</v>
      </c>
      <c r="H58" s="215" t="str" cm="1">
        <f t="array" aca="1" ref="H58" ca="1">IF(INDIRECT("'"&amp;B58&amp;"'!C"&amp;C58)=0,"",INDIRECT("'"&amp;B58&amp;"'!C"&amp;C58))</f>
        <v>x</v>
      </c>
      <c r="I58" s="215" t="str" cm="1">
        <f t="array" aca="1" ref="I58" ca="1">IF(INDIRECT("'"&amp;B58&amp;"'!D"&amp;C58)=0,"",INDIRECT("'"&amp;B58&amp;"'!D"&amp;C58))</f>
        <v>x</v>
      </c>
      <c r="J58" s="215" t="str" cm="1">
        <f t="array" aca="1" ref="J58" ca="1">IF(INDIRECT("'"&amp;B58&amp;"'!E"&amp;C58)=0,"",INDIRECT("'"&amp;B58&amp;"'!E"&amp;C58))</f>
        <v>x</v>
      </c>
      <c r="K58" s="253" t="str" cm="1">
        <f t="array" aca="1" ref="K58" ca="1">IF(INDIRECT("'"&amp;B58&amp;"'!F"&amp;C58)=0,"N/A",INDIRECT("'"&amp;B58&amp;"'!F"&amp;C58))</f>
        <v>2.2(7)</v>
      </c>
      <c r="L58" s="253" cm="1">
        <f t="array" aca="1" ref="L58" ca="1">IF(INDIRECT("'"&amp;B58&amp;"'!G"&amp;C58)=0,"N/A",INDIRECT("'"&amp;B58&amp;"'!G"&amp;C58))</f>
        <v>1</v>
      </c>
      <c r="M58" s="253" t="str" cm="1">
        <f t="array" aca="1" ref="M58" ca="1">IF(INDIRECT("'"&amp;B58&amp;"'!H"&amp;C58)=0,"N/A",INDIRECT("'"&amp;B58&amp;"'!H"&amp;C58))</f>
        <v>2.2(7) #1</v>
      </c>
      <c r="N58" s="221" t="str" cm="1">
        <f t="array" aca="1" ref="N58" ca="1">IF(INDIRECT("'"&amp;B58&amp;"'!I"&amp;C58)=0,"N/A",INDIRECT("'"&amp;B58&amp;"'!I"&amp;C58))</f>
        <v>มีการรักษาความมั่นคงปลอดภัยด้าน IT จากการใช้บริการ การเชื่อมต่อหรือการเข้าถึงข้อมูลจากบุคคลภายนอก ที่สอดคล้องกับการรักษาความมั่นคงปลอดภัยด้าน IT ของผู้ประกอบธุรกิจ หรือสอดคล้องกับมาตรฐานสากลที่ได้รับการยอมรับโดยทั่วไป</v>
      </c>
      <c r="O58" s="533" t="str" cm="1">
        <f t="array" aca="1" ref="O58" ca="1">IF(INDIRECT("'"&amp;B58&amp;"'!N"&amp;C58)=0,"N/A",INDIRECT("'"&amp;B58&amp;"'!N"&amp;C58))</f>
        <v>Yes/Partial/No</v>
      </c>
      <c r="P58" s="527" t="str" cm="1">
        <f t="array" aca="1" ref="P58" ca="1">IF(INDIRECT("'"&amp;B58&amp;"'!L"&amp;C58)=0,"",INDIRECT("'"&amp;B58&amp;"'!L"&amp;C58))</f>
        <v/>
      </c>
      <c r="Q58" s="527" t="str">
        <f t="shared" ca="1" si="0"/>
        <v/>
      </c>
      <c r="R58" s="563" t="str">
        <f t="shared" ca="1" si="1"/>
        <v>Yes</v>
      </c>
      <c r="S58" s="528" t="s">
        <v>1580</v>
      </c>
      <c r="T58" s="529" t="str">
        <f t="shared" si="2"/>
        <v/>
      </c>
      <c r="U58" s="529" t="str">
        <f t="shared" si="3"/>
        <v/>
      </c>
      <c r="V58" s="529" t="str">
        <f t="shared" si="4"/>
        <v>X</v>
      </c>
      <c r="W58" s="529" t="str">
        <f t="shared" si="5"/>
        <v/>
      </c>
      <c r="X58" s="529" t="str">
        <f t="shared" si="6"/>
        <v/>
      </c>
      <c r="Y58" s="529" t="str">
        <f t="shared" si="7"/>
        <v/>
      </c>
    </row>
    <row r="59" spans="1:25" ht="25.05" x14ac:dyDescent="0.2">
      <c r="A59" s="253" t="s">
        <v>508</v>
      </c>
      <c r="B59" s="253" t="s">
        <v>1581</v>
      </c>
      <c r="C59" s="253">
        <v>29</v>
      </c>
      <c r="D59" s="253" t="s">
        <v>1579</v>
      </c>
      <c r="E59" s="253" t="s">
        <v>332</v>
      </c>
      <c r="F59" s="253" t="s">
        <v>1571</v>
      </c>
      <c r="G59" s="215" t="str" cm="1">
        <f t="array" aca="1" ref="G59" ca="1">IF(INDIRECT("'"&amp;B59&amp;"'!B"&amp;C59)=0,"",INDIRECT("'"&amp;B59&amp;"'!B"&amp;C59))</f>
        <v>x</v>
      </c>
      <c r="H59" s="215" t="str" cm="1">
        <f t="array" aca="1" ref="H59" ca="1">IF(INDIRECT("'"&amp;B59&amp;"'!C"&amp;C59)=0,"",INDIRECT("'"&amp;B59&amp;"'!C"&amp;C59))</f>
        <v>x</v>
      </c>
      <c r="I59" s="215" t="str" cm="1">
        <f t="array" aca="1" ref="I59" ca="1">IF(INDIRECT("'"&amp;B59&amp;"'!D"&amp;C59)=0,"",INDIRECT("'"&amp;B59&amp;"'!D"&amp;C59))</f>
        <v>x</v>
      </c>
      <c r="J59" s="215" t="str" cm="1">
        <f t="array" aca="1" ref="J59" ca="1">IF(INDIRECT("'"&amp;B59&amp;"'!E"&amp;C59)=0,"",INDIRECT("'"&amp;B59&amp;"'!E"&amp;C59))</f>
        <v>x</v>
      </c>
      <c r="K59" s="253" t="str" cm="1">
        <f t="array" aca="1" ref="K59" ca="1">IF(INDIRECT("'"&amp;B59&amp;"'!F"&amp;C59)=0,"N/A",INDIRECT("'"&amp;B59&amp;"'!F"&amp;C59))</f>
        <v>2.2(8)</v>
      </c>
      <c r="L59" s="253" cm="1">
        <f t="array" aca="1" ref="L59" ca="1">IF(INDIRECT("'"&amp;B59&amp;"'!G"&amp;C59)=0,"N/A",INDIRECT("'"&amp;B59&amp;"'!G"&amp;C59))</f>
        <v>1</v>
      </c>
      <c r="M59" s="253" t="str" cm="1">
        <f t="array" aca="1" ref="M59" ca="1">IF(INDIRECT("'"&amp;B59&amp;"'!H"&amp;C59)=0,"N/A",INDIRECT("'"&amp;B59&amp;"'!H"&amp;C59))</f>
        <v>2.2(8) #1</v>
      </c>
      <c r="N59" s="221" t="str" cm="1">
        <f t="array" aca="1" ref="N59" ca="1">IF(INDIRECT("'"&amp;B59&amp;"'!I"&amp;C59)=0,"N/A",INDIRECT("'"&amp;B59&amp;"'!I"&amp;C59))</f>
        <v>มีการเตรียมความพร้อมรับมือต่อเหตุการณ์ผิดปกติด้าน IT และปัญหาด้าน IT ที่อาจเกิดขึ้นและมีผลกระทบอย่างมีนัยสำคัญเพื่อให้สามารถให้บริการหรือดำเนินธุรกิจได้อย่างต่อเนื่อง</v>
      </c>
      <c r="O59" s="533" t="str" cm="1">
        <f t="array" aca="1" ref="O59" ca="1">IF(INDIRECT("'"&amp;B59&amp;"'!N"&amp;C59)=0,"N/A",INDIRECT("'"&amp;B59&amp;"'!N"&amp;C59))</f>
        <v>Yes/Partial/No</v>
      </c>
      <c r="P59" s="527" t="str" cm="1">
        <f t="array" aca="1" ref="P59" ca="1">IF(INDIRECT("'"&amp;B59&amp;"'!L"&amp;C59)=0,"",INDIRECT("'"&amp;B59&amp;"'!L"&amp;C59))</f>
        <v/>
      </c>
      <c r="Q59" s="527" t="str">
        <f t="shared" ca="1" si="0"/>
        <v/>
      </c>
      <c r="R59" s="563" t="str">
        <f t="shared" ca="1" si="1"/>
        <v>Yes</v>
      </c>
      <c r="S59" s="528" t="s">
        <v>1583</v>
      </c>
      <c r="T59" s="529" t="str">
        <f t="shared" si="2"/>
        <v/>
      </c>
      <c r="U59" s="529" t="str">
        <f t="shared" si="3"/>
        <v/>
      </c>
      <c r="V59" s="529" t="str">
        <f t="shared" si="4"/>
        <v/>
      </c>
      <c r="W59" s="529" t="str">
        <f t="shared" si="5"/>
        <v/>
      </c>
      <c r="X59" s="529" t="str">
        <f t="shared" si="6"/>
        <v>X</v>
      </c>
      <c r="Y59" s="529" t="str">
        <f t="shared" si="7"/>
        <v/>
      </c>
    </row>
    <row r="60" spans="1:25" ht="50.1" x14ac:dyDescent="0.2">
      <c r="A60" s="253" t="s">
        <v>514</v>
      </c>
      <c r="B60" s="253" t="s">
        <v>1584</v>
      </c>
      <c r="C60" s="253">
        <v>4</v>
      </c>
      <c r="D60" s="253" t="s">
        <v>1579</v>
      </c>
      <c r="E60" s="253">
        <v>2.2999999999999998</v>
      </c>
      <c r="F60" s="253" t="s">
        <v>1571</v>
      </c>
      <c r="G60" s="215" t="str" cm="1">
        <f t="array" aca="1" ref="G60" ca="1">IF(INDIRECT("'"&amp;B60&amp;"'!B"&amp;C60)=0,"",INDIRECT("'"&amp;B60&amp;"'!B"&amp;C60))</f>
        <v>x</v>
      </c>
      <c r="H60" s="215" t="str" cm="1">
        <f t="array" aca="1" ref="H60" ca="1">IF(INDIRECT("'"&amp;B60&amp;"'!C"&amp;C60)=0,"",INDIRECT("'"&amp;B60&amp;"'!C"&amp;C60))</f>
        <v>x</v>
      </c>
      <c r="I60" s="215" t="str" cm="1">
        <f t="array" aca="1" ref="I60" ca="1">IF(INDIRECT("'"&amp;B60&amp;"'!D"&amp;C60)=0,"",INDIRECT("'"&amp;B60&amp;"'!D"&amp;C60))</f>
        <v>x</v>
      </c>
      <c r="J60" s="215" t="str" cm="1">
        <f t="array" aca="1" ref="J60" ca="1">IF(INDIRECT("'"&amp;B60&amp;"'!E"&amp;C60)=0,"",INDIRECT("'"&amp;B60&amp;"'!E"&amp;C60))</f>
        <v/>
      </c>
      <c r="K60" s="253" cm="1">
        <f t="array" aca="1" ref="K60" ca="1">IF(INDIRECT("'"&amp;B60&amp;"'!F"&amp;C60)=0,"N/A",INDIRECT("'"&amp;B60&amp;"'!F"&amp;C60))</f>
        <v>3.1</v>
      </c>
      <c r="L60" s="253" cm="1">
        <f t="array" aca="1" ref="L60" ca="1">IF(INDIRECT("'"&amp;B60&amp;"'!G"&amp;C60)=0,"N/A",INDIRECT("'"&amp;B60&amp;"'!G"&amp;C60))</f>
        <v>1</v>
      </c>
      <c r="M60" s="253" t="str" cm="1">
        <f t="array" aca="1" ref="M60" ca="1">IF(INDIRECT("'"&amp;B60&amp;"'!H"&amp;C60)=0,"N/A",INDIRECT("'"&amp;B60&amp;"'!H"&amp;C60))</f>
        <v>3.1 #1</v>
      </c>
      <c r="N60" s="221" t="str" cm="1">
        <f t="array" aca="1" ref="N60" ca="1">IF(INDIRECT("'"&amp;B60&amp;"'!I"&amp;C60)=0,"N/A",INDIRECT("'"&amp;B60&amp;"'!I"&amp;C60))</f>
        <v xml:space="preserve">มีการกำหนดระเบียบปฏิบัติเกี่ยวกับการบริหารจัดการทรัพย์สินด้าน IT ครอบคลุมการจัดทำทะเบียนรายการทรัพย์สิน การปรับปรุงทะเบียนรายการทรัพย์สิน การยกเลิกและเรียกคืนทรัพย์สิน
</v>
      </c>
      <c r="O60" s="533" t="str" cm="1">
        <f t="array" aca="1" ref="O60" ca="1">IF(INDIRECT("'"&amp;B60&amp;"'!N"&amp;C60)=0,"N/A",INDIRECT("'"&amp;B60&amp;"'!N"&amp;C60))</f>
        <v>Yes/Partial/No</v>
      </c>
      <c r="P60" s="527" t="str" cm="1">
        <f t="array" aca="1" ref="P60" ca="1">IF(INDIRECT("'"&amp;B60&amp;"'!L"&amp;C60)=0,"",INDIRECT("'"&amp;B60&amp;"'!L"&amp;C60))</f>
        <v/>
      </c>
      <c r="Q60" s="527" t="str">
        <f t="shared" ca="1" si="0"/>
        <v/>
      </c>
      <c r="R60" s="563" t="str">
        <f t="shared" ca="1" si="1"/>
        <v>Yes</v>
      </c>
      <c r="S60" s="528" t="s">
        <v>1585</v>
      </c>
      <c r="T60" s="529" t="str">
        <f t="shared" si="2"/>
        <v/>
      </c>
      <c r="U60" s="529" t="str">
        <f t="shared" si="3"/>
        <v>X</v>
      </c>
      <c r="V60" s="529" t="str">
        <f t="shared" si="4"/>
        <v/>
      </c>
      <c r="W60" s="529" t="str">
        <f t="shared" si="5"/>
        <v/>
      </c>
      <c r="X60" s="529" t="str">
        <f t="shared" si="6"/>
        <v/>
      </c>
      <c r="Y60" s="529" t="str">
        <f t="shared" si="7"/>
        <v/>
      </c>
    </row>
    <row r="61" spans="1:25" ht="150.30000000000001" x14ac:dyDescent="0.2">
      <c r="A61" s="253" t="s">
        <v>518</v>
      </c>
      <c r="B61" s="253" t="s">
        <v>1584</v>
      </c>
      <c r="C61" s="253">
        <v>5</v>
      </c>
      <c r="D61" s="253" t="s">
        <v>1579</v>
      </c>
      <c r="E61" s="253">
        <v>2.2999999999999998</v>
      </c>
      <c r="F61" s="253" t="s">
        <v>1571</v>
      </c>
      <c r="G61" s="215" t="str" cm="1">
        <f t="array" aca="1" ref="G61" ca="1">IF(INDIRECT("'"&amp;B61&amp;"'!B"&amp;C61)=0,"",INDIRECT("'"&amp;B61&amp;"'!B"&amp;C61))</f>
        <v>x</v>
      </c>
      <c r="H61" s="215" t="str" cm="1">
        <f t="array" aca="1" ref="H61" ca="1">IF(INDIRECT("'"&amp;B61&amp;"'!C"&amp;C61)=0,"",INDIRECT("'"&amp;B61&amp;"'!C"&amp;C61))</f>
        <v>x</v>
      </c>
      <c r="I61" s="215" t="str" cm="1">
        <f t="array" aca="1" ref="I61" ca="1">IF(INDIRECT("'"&amp;B61&amp;"'!D"&amp;C61)=0,"",INDIRECT("'"&amp;B61&amp;"'!D"&amp;C61))</f>
        <v>x</v>
      </c>
      <c r="J61" s="215" t="str" cm="1">
        <f t="array" aca="1" ref="J61" ca="1">IF(INDIRECT("'"&amp;B61&amp;"'!E"&amp;C61)=0,"",INDIRECT("'"&amp;B61&amp;"'!E"&amp;C61))</f>
        <v/>
      </c>
      <c r="K61" s="253" cm="1">
        <f t="array" aca="1" ref="K61" ca="1">IF(INDIRECT("'"&amp;B61&amp;"'!F"&amp;C61)=0,"N/A",INDIRECT("'"&amp;B61&amp;"'!F"&amp;C61))</f>
        <v>3.1</v>
      </c>
      <c r="L61" s="253" cm="1">
        <f t="array" aca="1" ref="L61" ca="1">IF(INDIRECT("'"&amp;B61&amp;"'!G"&amp;C61)=0,"N/A",INDIRECT("'"&amp;B61&amp;"'!G"&amp;C61))</f>
        <v>2</v>
      </c>
      <c r="M61" s="253" t="str" cm="1">
        <f t="array" aca="1" ref="M61" ca="1">IF(INDIRECT("'"&amp;B61&amp;"'!H"&amp;C61)=0,"N/A",INDIRECT("'"&amp;B61&amp;"'!H"&amp;C61))</f>
        <v>3.1 #2</v>
      </c>
      <c r="N61" s="221" t="str" cm="1">
        <f t="array" aca="1" ref="N61" ca="1">IF(INDIRECT("'"&amp;B61&amp;"'!I"&amp;C61)=0,"N/A",INDIRECT("'"&amp;B61&amp;"'!I"&amp;C61))</f>
        <v>มีการจัดทำทะเบียนรายการทรัพย์สินด้าน IT ประเภทอุปกรณ์ (hardware) รวมถึง virtual machine ให้ครบถ้วนและเป็นปัจจุบัน  โดยมีตัวอย่างรายละเอียด ดังนี้
    (1) เลขทะเบียนทรัพย์สิน
    (2) ประเภทฮาร์ดแวร์
    (3) รายละเอียดทางเทคนิค ยี่ห้อ รุ่น
    (4) ระบบปฏิบัติการและเวอร์ชัน
    (5) เจ้าของทรัพย์สิน
    (6) ผู้ดูแลทรัพย์สิน
    (7) สถานที่ตั้ง
    (8) วันที่เริ่มใช้งาน/วันที่ติดตั้ง
    (9) วันที่สิ้นสุดการรับประกัน หรือสิ้นสุดการใช้งานตามสัญญา
    (10) ประเภทการครอบครอง (ซื้อ หรือเช่า)</v>
      </c>
      <c r="O61" s="533" t="str" cm="1">
        <f t="array" aca="1" ref="O61" ca="1">IF(INDIRECT("'"&amp;B61&amp;"'!N"&amp;C61)=0,"N/A",INDIRECT("'"&amp;B61&amp;"'!N"&amp;C61))</f>
        <v>Yes/Partial/No</v>
      </c>
      <c r="P61" s="527" t="str" cm="1">
        <f t="array" aca="1" ref="P61" ca="1">IF(INDIRECT("'"&amp;B61&amp;"'!L"&amp;C61)=0,"",INDIRECT("'"&amp;B61&amp;"'!L"&amp;C61))</f>
        <v/>
      </c>
      <c r="Q61" s="527" t="str">
        <f t="shared" ca="1" si="0"/>
        <v/>
      </c>
      <c r="R61" s="563" t="str">
        <f t="shared" ca="1" si="1"/>
        <v>Yes</v>
      </c>
      <c r="S61" s="528" t="s">
        <v>1585</v>
      </c>
      <c r="T61" s="529" t="str">
        <f t="shared" si="2"/>
        <v/>
      </c>
      <c r="U61" s="529" t="str">
        <f t="shared" si="3"/>
        <v>X</v>
      </c>
      <c r="V61" s="529" t="str">
        <f t="shared" si="4"/>
        <v/>
      </c>
      <c r="W61" s="529" t="str">
        <f t="shared" si="5"/>
        <v/>
      </c>
      <c r="X61" s="529" t="str">
        <f t="shared" si="6"/>
        <v/>
      </c>
      <c r="Y61" s="529" t="str">
        <f t="shared" si="7"/>
        <v/>
      </c>
    </row>
    <row r="62" spans="1:25" ht="125.25" x14ac:dyDescent="0.2">
      <c r="A62" s="253" t="s">
        <v>522</v>
      </c>
      <c r="B62" s="253" t="s">
        <v>1584</v>
      </c>
      <c r="C62" s="253">
        <v>6</v>
      </c>
      <c r="D62" s="253" t="s">
        <v>1579</v>
      </c>
      <c r="E62" s="253">
        <v>2.2999999999999998</v>
      </c>
      <c r="F62" s="253" t="s">
        <v>1571</v>
      </c>
      <c r="G62" s="215" t="str" cm="1">
        <f t="array" aca="1" ref="G62" ca="1">IF(INDIRECT("'"&amp;B62&amp;"'!B"&amp;C62)=0,"",INDIRECT("'"&amp;B62&amp;"'!B"&amp;C62))</f>
        <v>x</v>
      </c>
      <c r="H62" s="215" t="str" cm="1">
        <f t="array" aca="1" ref="H62" ca="1">IF(INDIRECT("'"&amp;B62&amp;"'!C"&amp;C62)=0,"",INDIRECT("'"&amp;B62&amp;"'!C"&amp;C62))</f>
        <v>x</v>
      </c>
      <c r="I62" s="215" t="str" cm="1">
        <f t="array" aca="1" ref="I62" ca="1">IF(INDIRECT("'"&amp;B62&amp;"'!D"&amp;C62)=0,"",INDIRECT("'"&amp;B62&amp;"'!D"&amp;C62))</f>
        <v>x</v>
      </c>
      <c r="J62" s="215" t="str" cm="1">
        <f t="array" aca="1" ref="J62" ca="1">IF(INDIRECT("'"&amp;B62&amp;"'!E"&amp;C62)=0,"",INDIRECT("'"&amp;B62&amp;"'!E"&amp;C62))</f>
        <v/>
      </c>
      <c r="K62" s="253" cm="1">
        <f t="array" aca="1" ref="K62" ca="1">IF(INDIRECT("'"&amp;B62&amp;"'!F"&amp;C62)=0,"N/A",INDIRECT("'"&amp;B62&amp;"'!F"&amp;C62))</f>
        <v>3.1</v>
      </c>
      <c r="L62" s="253" cm="1">
        <f t="array" aca="1" ref="L62" ca="1">IF(INDIRECT("'"&amp;B62&amp;"'!G"&amp;C62)=0,"N/A",INDIRECT("'"&amp;B62&amp;"'!G"&amp;C62))</f>
        <v>3</v>
      </c>
      <c r="M62" s="253" t="str" cm="1">
        <f t="array" aca="1" ref="M62" ca="1">IF(INDIRECT("'"&amp;B62&amp;"'!H"&amp;C62)=0,"N/A",INDIRECT("'"&amp;B62&amp;"'!H"&amp;C62))</f>
        <v>3.1 #3</v>
      </c>
      <c r="N62" s="221" t="str" cm="1">
        <f t="array" aca="1" ref="N62" ca="1">IF(INDIRECT("'"&amp;B62&amp;"'!I"&amp;C62)=0,"N/A",INDIRECT("'"&amp;B62&amp;"'!I"&amp;C62))</f>
        <v>จัดทำทะเบียนรายการทรัพย์สินด้าน IT ประเภทซอฟต์แวร์ (software) ให้ครบถ้วนและเป็นปัจจุบัน โดยมีตัวอย่างรายละเอียด ดังนี้
    (1) เลขทะเบียนทรัพย์สิน
    (2) ชื่อซอฟต์แวร์
    (3) รายละเอียดทางเทคนิค / การใช้งาน
    (4) ระบบปฏิบัติการและเวอร์ชัน
    (5) หน่วยงานภายในผู้เป็นเจ้าของซอฟต์แวร์
    (6) วันลงทะเบียนซอฟต์แวร์
    (7) วันที่สิ้นสุดการใช้บริการ
    (8) เลขทะเบียนทรัพย์สินฮาร์ดแวร์ที่อ้างอิง</v>
      </c>
      <c r="O62" s="533" t="str" cm="1">
        <f t="array" aca="1" ref="O62" ca="1">IF(INDIRECT("'"&amp;B62&amp;"'!N"&amp;C62)=0,"N/A",INDIRECT("'"&amp;B62&amp;"'!N"&amp;C62))</f>
        <v>Yes/Partial/No</v>
      </c>
      <c r="P62" s="527" t="str" cm="1">
        <f t="array" aca="1" ref="P62" ca="1">IF(INDIRECT("'"&amp;B62&amp;"'!L"&amp;C62)=0,"",INDIRECT("'"&amp;B62&amp;"'!L"&amp;C62))</f>
        <v/>
      </c>
      <c r="Q62" s="527" t="str">
        <f t="shared" ca="1" si="0"/>
        <v/>
      </c>
      <c r="R62" s="563" t="str">
        <f t="shared" ca="1" si="1"/>
        <v>Yes</v>
      </c>
      <c r="S62" s="528" t="s">
        <v>1585</v>
      </c>
      <c r="T62" s="529" t="str">
        <f t="shared" si="2"/>
        <v/>
      </c>
      <c r="U62" s="529" t="str">
        <f t="shared" si="3"/>
        <v>X</v>
      </c>
      <c r="V62" s="529" t="str">
        <f t="shared" si="4"/>
        <v/>
      </c>
      <c r="W62" s="529" t="str">
        <f t="shared" si="5"/>
        <v/>
      </c>
      <c r="X62" s="529" t="str">
        <f t="shared" si="6"/>
        <v/>
      </c>
      <c r="Y62" s="529" t="str">
        <f t="shared" si="7"/>
        <v/>
      </c>
    </row>
    <row r="63" spans="1:25" ht="25.05" x14ac:dyDescent="0.2">
      <c r="A63" s="253" t="s">
        <v>526</v>
      </c>
      <c r="B63" s="253" t="s">
        <v>1584</v>
      </c>
      <c r="C63" s="253">
        <v>7</v>
      </c>
      <c r="D63" s="253" t="s">
        <v>1579</v>
      </c>
      <c r="E63" s="253">
        <v>2.2999999999999998</v>
      </c>
      <c r="F63" s="253" t="s">
        <v>1571</v>
      </c>
      <c r="G63" s="215" t="str" cm="1">
        <f t="array" aca="1" ref="G63" ca="1">IF(INDIRECT("'"&amp;B63&amp;"'!B"&amp;C63)=0,"",INDIRECT("'"&amp;B63&amp;"'!B"&amp;C63))</f>
        <v>x</v>
      </c>
      <c r="H63" s="215" t="str" cm="1">
        <f t="array" aca="1" ref="H63" ca="1">IF(INDIRECT("'"&amp;B63&amp;"'!C"&amp;C63)=0,"",INDIRECT("'"&amp;B63&amp;"'!C"&amp;C63))</f>
        <v>x</v>
      </c>
      <c r="I63" s="215" t="str" cm="1">
        <f t="array" aca="1" ref="I63" ca="1">IF(INDIRECT("'"&amp;B63&amp;"'!D"&amp;C63)=0,"",INDIRECT("'"&amp;B63&amp;"'!D"&amp;C63))</f>
        <v>x</v>
      </c>
      <c r="J63" s="215" t="str" cm="1">
        <f t="array" aca="1" ref="J63" ca="1">IF(INDIRECT("'"&amp;B63&amp;"'!E"&amp;C63)=0,"",INDIRECT("'"&amp;B63&amp;"'!E"&amp;C63))</f>
        <v/>
      </c>
      <c r="K63" s="253" cm="1">
        <f t="array" aca="1" ref="K63" ca="1">IF(INDIRECT("'"&amp;B63&amp;"'!F"&amp;C63)=0,"N/A",INDIRECT("'"&amp;B63&amp;"'!F"&amp;C63))</f>
        <v>3.1</v>
      </c>
      <c r="L63" s="253" cm="1">
        <f t="array" aca="1" ref="L63" ca="1">IF(INDIRECT("'"&amp;B63&amp;"'!G"&amp;C63)=0,"N/A",INDIRECT("'"&amp;B63&amp;"'!G"&amp;C63))</f>
        <v>4</v>
      </c>
      <c r="M63" s="253" t="str" cm="1">
        <f t="array" aca="1" ref="M63" ca="1">IF(INDIRECT("'"&amp;B63&amp;"'!H"&amp;C63)=0,"N/A",INDIRECT("'"&amp;B63&amp;"'!H"&amp;C63))</f>
        <v>3.1 #4</v>
      </c>
      <c r="N63" s="221" t="str" cm="1">
        <f t="array" aca="1" ref="N63" ca="1">IF(INDIRECT("'"&amp;B63&amp;"'!I"&amp;C63)=0,"N/A",INDIRECT("'"&amp;B63&amp;"'!I"&amp;C63))</f>
        <v>จัดให้มีการปรับปรุงทะเบียนทรัพย์สินสารสนเทศต่าง ๆ ให้ครบถ้วนและเป็นปัจจุบันอยู่อย่างสม่ำเสมอ อย่างน้อยปีละ 1 ครั้ง และทุกครั้งที่มีการเปลี่ยนแปลงระบบ IT อย่างมีนัยสำคัญ</v>
      </c>
      <c r="O63" s="533" t="str" cm="1">
        <f t="array" aca="1" ref="O63" ca="1">IF(INDIRECT("'"&amp;B63&amp;"'!N"&amp;C63)=0,"N/A",INDIRECT("'"&amp;B63&amp;"'!N"&amp;C63))</f>
        <v>Maturity</v>
      </c>
      <c r="P63" s="527" t="str" cm="1">
        <f t="array" aca="1" ref="P63" ca="1">IF(INDIRECT("'"&amp;B63&amp;"'!L"&amp;C63)=0,"",INDIRECT("'"&amp;B63&amp;"'!L"&amp;C63))</f>
        <v/>
      </c>
      <c r="Q63" s="527" t="str">
        <f t="shared" ca="1" si="0"/>
        <v/>
      </c>
      <c r="R63" s="563" t="str">
        <f t="shared" ca="1" si="1"/>
        <v>Yes</v>
      </c>
      <c r="S63" s="528" t="s">
        <v>1585</v>
      </c>
      <c r="T63" s="529" t="str">
        <f t="shared" si="2"/>
        <v/>
      </c>
      <c r="U63" s="529" t="str">
        <f t="shared" si="3"/>
        <v>X</v>
      </c>
      <c r="V63" s="529" t="str">
        <f t="shared" si="4"/>
        <v/>
      </c>
      <c r="W63" s="529" t="str">
        <f t="shared" si="5"/>
        <v/>
      </c>
      <c r="X63" s="529" t="str">
        <f t="shared" si="6"/>
        <v/>
      </c>
      <c r="Y63" s="529" t="str">
        <f t="shared" si="7"/>
        <v/>
      </c>
    </row>
    <row r="64" spans="1:25" ht="37.6" x14ac:dyDescent="0.2">
      <c r="A64" s="253" t="s">
        <v>535</v>
      </c>
      <c r="B64" s="253" t="s">
        <v>1584</v>
      </c>
      <c r="C64" s="253">
        <v>8</v>
      </c>
      <c r="D64" s="253" t="s">
        <v>1579</v>
      </c>
      <c r="E64" s="253">
        <v>2.2999999999999998</v>
      </c>
      <c r="F64" s="253" t="s">
        <v>1571</v>
      </c>
      <c r="G64" s="215" t="str" cm="1">
        <f t="array" aca="1" ref="G64" ca="1">IF(INDIRECT("'"&amp;B64&amp;"'!B"&amp;C64)=0,"",INDIRECT("'"&amp;B64&amp;"'!B"&amp;C64))</f>
        <v>x</v>
      </c>
      <c r="H64" s="215" t="str" cm="1">
        <f t="array" aca="1" ref="H64" ca="1">IF(INDIRECT("'"&amp;B64&amp;"'!C"&amp;C64)=0,"",INDIRECT("'"&amp;B64&amp;"'!C"&amp;C64))</f>
        <v>x</v>
      </c>
      <c r="I64" s="215" t="str" cm="1">
        <f t="array" aca="1" ref="I64" ca="1">IF(INDIRECT("'"&amp;B64&amp;"'!D"&amp;C64)=0,"",INDIRECT("'"&amp;B64&amp;"'!D"&amp;C64))</f>
        <v>x</v>
      </c>
      <c r="J64" s="215" t="str" cm="1">
        <f t="array" aca="1" ref="J64" ca="1">IF(INDIRECT("'"&amp;B64&amp;"'!E"&amp;C64)=0,"",INDIRECT("'"&amp;B64&amp;"'!E"&amp;C64))</f>
        <v/>
      </c>
      <c r="K64" s="253" cm="1">
        <f t="array" aca="1" ref="K64" ca="1">IF(INDIRECT("'"&amp;B64&amp;"'!F"&amp;C64)=0,"N/A",INDIRECT("'"&amp;B64&amp;"'!F"&amp;C64))</f>
        <v>3.2</v>
      </c>
      <c r="L64" s="253" cm="1">
        <f t="array" aca="1" ref="L64" ca="1">IF(INDIRECT("'"&amp;B64&amp;"'!G"&amp;C64)=0,"N/A",INDIRECT("'"&amp;B64&amp;"'!G"&amp;C64))</f>
        <v>1</v>
      </c>
      <c r="M64" s="253" t="str" cm="1">
        <f t="array" aca="1" ref="M64" ca="1">IF(INDIRECT("'"&amp;B64&amp;"'!H"&amp;C64)=0,"N/A",INDIRECT("'"&amp;B64&amp;"'!H"&amp;C64))</f>
        <v>3.2 #1</v>
      </c>
      <c r="N64" s="221" t="str" cm="1">
        <f t="array" aca="1" ref="N64" ca="1">IF(INDIRECT("'"&amp;B64&amp;"'!I"&amp;C64)=0,"N/A",INDIRECT("'"&amp;B64&amp;"'!I"&amp;C64))</f>
        <v>กำหนดบุคคลหรือหน่วยงานซึ่งรับผิดชอบในการจัดทำและปรับปรุงทะเบียนรายการทรัพย์สินด้าน IT  แต่ละรายการ รวมถึงบำรุงรักษาทรัพย์สินด้าน IT แต่ละรายการอย่างสม่ำเสมอตลอดอายุการใช้งานของทรัพย์สินดังกล่าว</v>
      </c>
      <c r="O64" s="533" t="str" cm="1">
        <f t="array" aca="1" ref="O64" ca="1">IF(INDIRECT("'"&amp;B64&amp;"'!N"&amp;C64)=0,"N/A",INDIRECT("'"&amp;B64&amp;"'!N"&amp;C64))</f>
        <v>Yes/Partial/No</v>
      </c>
      <c r="P64" s="527" t="str" cm="1">
        <f t="array" aca="1" ref="P64" ca="1">IF(INDIRECT("'"&amp;B64&amp;"'!L"&amp;C64)=0,"",INDIRECT("'"&amp;B64&amp;"'!L"&amp;C64))</f>
        <v/>
      </c>
      <c r="Q64" s="527" t="str">
        <f t="shared" ca="1" si="0"/>
        <v/>
      </c>
      <c r="R64" s="563" t="str">
        <f t="shared" ca="1" si="1"/>
        <v>Yes</v>
      </c>
      <c r="S64" s="528" t="s">
        <v>1576</v>
      </c>
      <c r="T64" s="529" t="str">
        <f t="shared" si="2"/>
        <v>X</v>
      </c>
      <c r="U64" s="529" t="str">
        <f t="shared" si="3"/>
        <v>X</v>
      </c>
      <c r="V64" s="529" t="str">
        <f t="shared" si="4"/>
        <v/>
      </c>
      <c r="W64" s="529" t="str">
        <f t="shared" si="5"/>
        <v/>
      </c>
      <c r="X64" s="529" t="str">
        <f t="shared" si="6"/>
        <v/>
      </c>
      <c r="Y64" s="529" t="str">
        <f t="shared" si="7"/>
        <v/>
      </c>
    </row>
    <row r="65" spans="1:25" ht="75.150000000000006" x14ac:dyDescent="0.2">
      <c r="A65" s="253" t="s">
        <v>539</v>
      </c>
      <c r="B65" s="253" t="s">
        <v>1584</v>
      </c>
      <c r="C65" s="253">
        <v>9</v>
      </c>
      <c r="D65" s="253" t="s">
        <v>1579</v>
      </c>
      <c r="E65" s="253">
        <v>2.2999999999999998</v>
      </c>
      <c r="F65" s="253" t="s">
        <v>1571</v>
      </c>
      <c r="G65" s="215" t="str" cm="1">
        <f t="array" aca="1" ref="G65" ca="1">IF(INDIRECT("'"&amp;B65&amp;"'!B"&amp;C65)=0,"",INDIRECT("'"&amp;B65&amp;"'!B"&amp;C65))</f>
        <v>x</v>
      </c>
      <c r="H65" s="215" t="str" cm="1">
        <f t="array" aca="1" ref="H65" ca="1">IF(INDIRECT("'"&amp;B65&amp;"'!C"&amp;C65)=0,"",INDIRECT("'"&amp;B65&amp;"'!C"&amp;C65))</f>
        <v>x</v>
      </c>
      <c r="I65" s="215" t="str" cm="1">
        <f t="array" aca="1" ref="I65" ca="1">IF(INDIRECT("'"&amp;B65&amp;"'!D"&amp;C65)=0,"",INDIRECT("'"&amp;B65&amp;"'!D"&amp;C65))</f>
        <v>x</v>
      </c>
      <c r="J65" s="215" t="str" cm="1">
        <f t="array" aca="1" ref="J65" ca="1">IF(INDIRECT("'"&amp;B65&amp;"'!E"&amp;C65)=0,"",INDIRECT("'"&amp;B65&amp;"'!E"&amp;C65))</f>
        <v/>
      </c>
      <c r="K65" s="253" cm="1">
        <f t="array" aca="1" ref="K65" ca="1">IF(INDIRECT("'"&amp;B65&amp;"'!F"&amp;C65)=0,"N/A",INDIRECT("'"&amp;B65&amp;"'!F"&amp;C65))</f>
        <v>3.3</v>
      </c>
      <c r="L65" s="253" cm="1">
        <f t="array" aca="1" ref="L65" ca="1">IF(INDIRECT("'"&amp;B65&amp;"'!G"&amp;C65)=0,"N/A",INDIRECT("'"&amp;B65&amp;"'!G"&amp;C65))</f>
        <v>1</v>
      </c>
      <c r="M65" s="253" t="str" cm="1">
        <f t="array" aca="1" ref="M65" ca="1">IF(INDIRECT("'"&amp;B65&amp;"'!H"&amp;C65)=0,"N/A",INDIRECT("'"&amp;B65&amp;"'!H"&amp;C65))</f>
        <v>3.3 #1</v>
      </c>
      <c r="N65" s="221" t="str" cm="1">
        <f t="array" aca="1" ref="N65" ca="1">IF(INDIRECT("'"&amp;B65&amp;"'!I"&amp;C65)=0,"N/A",INDIRECT("'"&amp;B65&amp;"'!I"&amp;C65))</f>
        <v xml:space="preserve">มีการบำรุงรักษาทรัพย์สินด้าน IT ให้มีสภาพพร้อมใช้งานและรองรับการดำเนินธุรกิจอย่างต่อเนื่อง พร้อมทั้งวางแผนรองรับทรัพย์สินด้าน IT ที่ใกล้จะสิ้นสุดอายุการใช้งาน (end of life) หรือสิ้นสุดการสนับสนุนหรือให้บริการจากผู้ผลิต (end of support) ได้อย่างเหมาะสมทันการณ์ 
พร้อมทั้ง มีมาตรการควบคุมความเสี่ยง ในกรณีที่มีความจำเป็นต้องใช้ทรัพย์สินที่สิ้นสุดอายุการใช้งานหรือสิ้นสุดการสนับสนุนหรือให้บริการจากผู้ผลิต </v>
      </c>
      <c r="O65" s="533" t="str" cm="1">
        <f t="array" aca="1" ref="O65" ca="1">IF(INDIRECT("'"&amp;B65&amp;"'!N"&amp;C65)=0,"N/A",INDIRECT("'"&amp;B65&amp;"'!N"&amp;C65))</f>
        <v>Maturity</v>
      </c>
      <c r="P65" s="527" t="str" cm="1">
        <f t="array" aca="1" ref="P65" ca="1">IF(INDIRECT("'"&amp;B65&amp;"'!L"&amp;C65)=0,"",INDIRECT("'"&amp;B65&amp;"'!L"&amp;C65))</f>
        <v/>
      </c>
      <c r="Q65" s="527" t="str">
        <f t="shared" ca="1" si="0"/>
        <v/>
      </c>
      <c r="R65" s="563" t="str">
        <f t="shared" ca="1" si="1"/>
        <v>Yes</v>
      </c>
      <c r="S65" s="528" t="s">
        <v>1585</v>
      </c>
      <c r="T65" s="529" t="str">
        <f t="shared" si="2"/>
        <v/>
      </c>
      <c r="U65" s="529" t="str">
        <f t="shared" si="3"/>
        <v>X</v>
      </c>
      <c r="V65" s="529" t="str">
        <f t="shared" si="4"/>
        <v/>
      </c>
      <c r="W65" s="529" t="str">
        <f t="shared" si="5"/>
        <v/>
      </c>
      <c r="X65" s="529" t="str">
        <f t="shared" si="6"/>
        <v/>
      </c>
      <c r="Y65" s="529" t="str">
        <f t="shared" si="7"/>
        <v/>
      </c>
    </row>
    <row r="66" spans="1:25" ht="25.05" x14ac:dyDescent="0.2">
      <c r="A66" s="253" t="s">
        <v>549</v>
      </c>
      <c r="B66" s="253" t="s">
        <v>1586</v>
      </c>
      <c r="C66" s="253">
        <v>4</v>
      </c>
      <c r="D66" s="253" t="s">
        <v>1579</v>
      </c>
      <c r="E66" s="253">
        <v>2.4</v>
      </c>
      <c r="F66" s="253" t="s">
        <v>1571</v>
      </c>
      <c r="G66" s="215" t="str" cm="1">
        <f t="array" aca="1" ref="G66" ca="1">IF(INDIRECT("'"&amp;B66&amp;"'!B"&amp;C66)=0,"",INDIRECT("'"&amp;B66&amp;"'!B"&amp;C66))</f>
        <v>x</v>
      </c>
      <c r="H66" s="215" t="str" cm="1">
        <f t="array" aca="1" ref="H66" ca="1">IF(INDIRECT("'"&amp;B66&amp;"'!C"&amp;C66)=0,"",INDIRECT("'"&amp;B66&amp;"'!C"&amp;C66))</f>
        <v>x</v>
      </c>
      <c r="I66" s="215" t="str" cm="1">
        <f t="array" aca="1" ref="I66" ca="1">IF(INDIRECT("'"&amp;B66&amp;"'!D"&amp;C66)=0,"",INDIRECT("'"&amp;B66&amp;"'!D"&amp;C66))</f>
        <v>x</v>
      </c>
      <c r="J66" s="215" t="str" cm="1">
        <f t="array" aca="1" ref="J66" ca="1">IF(INDIRECT("'"&amp;B66&amp;"'!E"&amp;C66)=0,"",INDIRECT("'"&amp;B66&amp;"'!E"&amp;C66))</f>
        <v/>
      </c>
      <c r="K66" s="253" cm="1">
        <f t="array" aca="1" ref="K66" ca="1">IF(INDIRECT("'"&amp;B66&amp;"'!F"&amp;C66)=0,"N/A",INDIRECT("'"&amp;B66&amp;"'!F"&amp;C66))</f>
        <v>4.0999999999999996</v>
      </c>
      <c r="L66" s="253" cm="1">
        <f t="array" aca="1" ref="L66" ca="1">IF(INDIRECT("'"&amp;B66&amp;"'!G"&amp;C66)=0,"N/A",INDIRECT("'"&amp;B66&amp;"'!G"&amp;C66))</f>
        <v>1</v>
      </c>
      <c r="M66" s="253" t="str" cm="1">
        <f t="array" aca="1" ref="M66" ca="1">IF(INDIRECT("'"&amp;B66&amp;"'!H"&amp;C66)=0,"N/A",INDIRECT("'"&amp;B66&amp;"'!H"&amp;C66))</f>
        <v>4.1 #1</v>
      </c>
      <c r="N66" s="221" t="str" cm="1">
        <f t="array" aca="1" ref="N66" ca="1">IF(INDIRECT("'"&amp;B66&amp;"'!I"&amp;C66)=0,"N/A",INDIRECT("'"&amp;B66&amp;"'!I"&amp;C66))</f>
        <v>มีการกำหนดบุคคลหรือหน่วยงานซึ่งเป็นเจ้าของข้อมูล (data owner) เพื่อรับผิดชอบในการกำหนดผู้ใช้งาน สิทธิการเข้าถึงและแก้ไขเปลี่ยนแปลงข้อมูล และวิธีปฏิบัติในการใช้งานข้อมูลอย่างปลอดภัย</v>
      </c>
      <c r="O66" s="533" t="str" cm="1">
        <f t="array" aca="1" ref="O66" ca="1">IF(INDIRECT("'"&amp;B66&amp;"'!N"&amp;C66)=0,"N/A",INDIRECT("'"&amp;B66&amp;"'!N"&amp;C66))</f>
        <v>Maturity</v>
      </c>
      <c r="P66" s="527" t="str" cm="1">
        <f t="array" aca="1" ref="P66" ca="1">IF(INDIRECT("'"&amp;B66&amp;"'!L"&amp;C66)=0,"",INDIRECT("'"&amp;B66&amp;"'!L"&amp;C66))</f>
        <v/>
      </c>
      <c r="Q66" s="527" t="str">
        <f t="shared" ref="Q66:Q130" ca="1" si="8">IF(P66="N/A","N/A",IF(OR(P66="No",P66="M1"),1,IF(OR(P66="Partial",P66="M2"),2,IF(OR(P66="Yes",P66="M3"),3,IF(P66="M4",3,IF(P66="M5",3,""))))))</f>
        <v/>
      </c>
      <c r="R66" s="563" t="str">
        <f t="shared" ca="1" si="1"/>
        <v>Yes</v>
      </c>
      <c r="S66" s="528" t="s">
        <v>1576</v>
      </c>
      <c r="T66" s="529" t="str">
        <f t="shared" si="2"/>
        <v>X</v>
      </c>
      <c r="U66" s="529" t="str">
        <f t="shared" si="3"/>
        <v>X</v>
      </c>
      <c r="V66" s="529" t="str">
        <f t="shared" si="4"/>
        <v/>
      </c>
      <c r="W66" s="529" t="str">
        <f t="shared" si="5"/>
        <v/>
      </c>
      <c r="X66" s="529" t="str">
        <f t="shared" si="6"/>
        <v/>
      </c>
      <c r="Y66" s="529" t="str">
        <f t="shared" si="7"/>
        <v/>
      </c>
    </row>
    <row r="67" spans="1:25" ht="50.1" x14ac:dyDescent="0.2">
      <c r="A67" s="253" t="s">
        <v>558</v>
      </c>
      <c r="B67" s="253" t="s">
        <v>1586</v>
      </c>
      <c r="C67" s="253">
        <v>5</v>
      </c>
      <c r="D67" s="253" t="s">
        <v>1579</v>
      </c>
      <c r="E67" s="253">
        <v>2.4</v>
      </c>
      <c r="F67" s="253" t="s">
        <v>1571</v>
      </c>
      <c r="G67" s="215" t="str" cm="1">
        <f t="array" aca="1" ref="G67" ca="1">IF(INDIRECT("'"&amp;B67&amp;"'!B"&amp;C67)=0,"",INDIRECT("'"&amp;B67&amp;"'!B"&amp;C67))</f>
        <v>x</v>
      </c>
      <c r="H67" s="215" t="str" cm="1">
        <f t="array" aca="1" ref="H67" ca="1">IF(INDIRECT("'"&amp;B67&amp;"'!C"&amp;C67)=0,"",INDIRECT("'"&amp;B67&amp;"'!C"&amp;C67))</f>
        <v>x</v>
      </c>
      <c r="I67" s="215" t="str" cm="1">
        <f t="array" aca="1" ref="I67" ca="1">IF(INDIRECT("'"&amp;B67&amp;"'!D"&amp;C67)=0,"",INDIRECT("'"&amp;B67&amp;"'!D"&amp;C67))</f>
        <v>x</v>
      </c>
      <c r="J67" s="215" t="str" cm="1">
        <f t="array" aca="1" ref="J67" ca="1">IF(INDIRECT("'"&amp;B67&amp;"'!E"&amp;C67)=0,"",INDIRECT("'"&amp;B67&amp;"'!E"&amp;C67))</f>
        <v/>
      </c>
      <c r="K67" s="253" cm="1">
        <f t="array" aca="1" ref="K67" ca="1">IF(INDIRECT("'"&amp;B67&amp;"'!F"&amp;C67)=0,"N/A",INDIRECT("'"&amp;B67&amp;"'!F"&amp;C67))</f>
        <v>4.2</v>
      </c>
      <c r="L67" s="253" cm="1">
        <f t="array" aca="1" ref="L67" ca="1">IF(INDIRECT("'"&amp;B67&amp;"'!G"&amp;C67)=0,"N/A",INDIRECT("'"&amp;B67&amp;"'!G"&amp;C67))</f>
        <v>1</v>
      </c>
      <c r="M67" s="253" t="str" cm="1">
        <f t="array" aca="1" ref="M67" ca="1">IF(INDIRECT("'"&amp;B67&amp;"'!H"&amp;C67)=0,"N/A",INDIRECT("'"&amp;B67&amp;"'!H"&amp;C67))</f>
        <v>4.2 #1</v>
      </c>
      <c r="N67" s="221" t="str" cm="1">
        <f t="array" aca="1" ref="N67" ca="1">IF(INDIRECT("'"&amp;B67&amp;"'!I"&amp;C67)=0,"N/A",INDIRECT("'"&amp;B67&amp;"'!I"&amp;C67))</f>
        <v>มีการกำหนดหลักเกณฑ์การจัดชั้นความลับของข้อมูล (data classification) และวิธีการจัดการข้อมูล (data handling) ตามชั้นความลับให้ครอบคลุมตลอดวงจรชีวิตของข้อมูล (data life cycle) ตั้งแต่การสร้างหรือการได้มาซึ่งข้อมูล การประมวลผล การจัดเก็บ การใช้งาน ไปจนถึงการทำลายข้อมูล รวมทั้งระบุชั้นความลับของข้อมูลอย่างชัดเจน</v>
      </c>
      <c r="O67" s="533" t="str" cm="1">
        <f t="array" aca="1" ref="O67" ca="1">IF(INDIRECT("'"&amp;B67&amp;"'!N"&amp;C67)=0,"N/A",INDIRECT("'"&amp;B67&amp;"'!N"&amp;C67))</f>
        <v>Maturity</v>
      </c>
      <c r="P67" s="527" t="str" cm="1">
        <f t="array" aca="1" ref="P67" ca="1">IF(INDIRECT("'"&amp;B67&amp;"'!L"&amp;C67)=0,"",INDIRECT("'"&amp;B67&amp;"'!L"&amp;C67))</f>
        <v/>
      </c>
      <c r="Q67" s="527" t="str">
        <f t="shared" ca="1" si="8"/>
        <v/>
      </c>
      <c r="R67" s="563" t="str">
        <f t="shared" ref="R67:R130" ca="1" si="9">IF(OR(P67="", P67="N/A"), "Yes", "")</f>
        <v>Yes</v>
      </c>
      <c r="S67" s="528" t="s">
        <v>1587</v>
      </c>
      <c r="T67" s="529" t="str">
        <f t="shared" ref="T67:T131" si="10">IF(ISNUMBER(SEARCH("(GV)",$S67)),"X","")</f>
        <v>X</v>
      </c>
      <c r="U67" s="529" t="str">
        <f t="shared" ref="U67:U131" si="11">IF(ISNUMBER(SEARCH("(ID)",$S67)),"X","")</f>
        <v>X</v>
      </c>
      <c r="V67" s="529" t="str">
        <f t="shared" ref="V67:V131" si="12">IF(ISNUMBER(SEARCH("(PR)",$S67)),"X","")</f>
        <v/>
      </c>
      <c r="W67" s="529" t="str">
        <f t="shared" ref="W67:W131" si="13">IF(ISNUMBER(SEARCH("(DE)",$S67)),"X","")</f>
        <v/>
      </c>
      <c r="X67" s="529" t="str">
        <f t="shared" ref="X67:X131" si="14">IF(ISNUMBER(SEARCH("(RS)",$S67)),"X","")</f>
        <v/>
      </c>
      <c r="Y67" s="529" t="str">
        <f t="shared" ref="Y67:Y131" si="15">IF(ISNUMBER(SEARCH("(RC)",$S67)),"X","")</f>
        <v/>
      </c>
    </row>
    <row r="68" spans="1:25" ht="50.1" x14ac:dyDescent="0.2">
      <c r="A68" s="253" t="s">
        <v>567</v>
      </c>
      <c r="B68" s="253" t="s">
        <v>1586</v>
      </c>
      <c r="C68" s="253">
        <v>6</v>
      </c>
      <c r="D68" s="253" t="s">
        <v>1579</v>
      </c>
      <c r="E68" s="253">
        <v>2.4</v>
      </c>
      <c r="F68" s="253" t="s">
        <v>1571</v>
      </c>
      <c r="G68" s="215" t="str" cm="1">
        <f t="array" aca="1" ref="G68" ca="1">IF(INDIRECT("'"&amp;B68&amp;"'!B"&amp;C68)=0,"",INDIRECT("'"&amp;B68&amp;"'!B"&amp;C68))</f>
        <v>x</v>
      </c>
      <c r="H68" s="215" t="str" cm="1">
        <f t="array" aca="1" ref="H68" ca="1">IF(INDIRECT("'"&amp;B68&amp;"'!C"&amp;C68)=0,"",INDIRECT("'"&amp;B68&amp;"'!C"&amp;C68))</f>
        <v>x</v>
      </c>
      <c r="I68" s="215" t="str" cm="1">
        <f t="array" aca="1" ref="I68" ca="1">IF(INDIRECT("'"&amp;B68&amp;"'!D"&amp;C68)=0,"",INDIRECT("'"&amp;B68&amp;"'!D"&amp;C68))</f>
        <v>x</v>
      </c>
      <c r="J68" s="215" t="str" cm="1">
        <f t="array" aca="1" ref="J68" ca="1">IF(INDIRECT("'"&amp;B68&amp;"'!E"&amp;C68)=0,"",INDIRECT("'"&amp;B68&amp;"'!E"&amp;C68))</f>
        <v/>
      </c>
      <c r="K68" s="253" cm="1">
        <f t="array" aca="1" ref="K68" ca="1">IF(INDIRECT("'"&amp;B68&amp;"'!F"&amp;C68)=0,"N/A",INDIRECT("'"&amp;B68&amp;"'!F"&amp;C68))</f>
        <v>4.2</v>
      </c>
      <c r="L68" s="253" cm="1">
        <f t="array" aca="1" ref="L68" ca="1">IF(INDIRECT("'"&amp;B68&amp;"'!G"&amp;C68)=0,"N/A",INDIRECT("'"&amp;B68&amp;"'!G"&amp;C68))</f>
        <v>2</v>
      </c>
      <c r="M68" s="253" t="str" cm="1">
        <f t="array" aca="1" ref="M68" ca="1">IF(INDIRECT("'"&amp;B68&amp;"'!H"&amp;C68)=0,"N/A",INDIRECT("'"&amp;B68&amp;"'!H"&amp;C68))</f>
        <v>4.2 #2</v>
      </c>
      <c r="N68" s="221" t="str" cm="1">
        <f t="array" aca="1" ref="N68" ca="1">IF(INDIRECT("'"&amp;B68&amp;"'!I"&amp;C68)=0,"N/A",INDIRECT("'"&amp;B68&amp;"'!I"&amp;C68))</f>
        <v>มีการกำหนดมาตรการรักษาความมั่นคงปลอดภัยของข้อมูล ที่สอดคล้องตามชั้นความลับ ครอบคลุม
    (1) ข้อมูลที่อยู่บนอุปกรณ์ที่ใช้ปฏิบัติงาน (data at endpoint)
    (2) ข้อมูลที่อยู่ระหว่างการรับส่งผ่านเครือข่าย (data in transit)
    (3) ข้อมูลที่อยู่บนระบบงานและสื่อบันทึกข้อมูล (data at rest)</v>
      </c>
      <c r="O68" s="533" t="str" cm="1">
        <f t="array" aca="1" ref="O68" ca="1">IF(INDIRECT("'"&amp;B68&amp;"'!N"&amp;C68)=0,"N/A",INDIRECT("'"&amp;B68&amp;"'!N"&amp;C68))</f>
        <v>Maturity</v>
      </c>
      <c r="P68" s="527" t="str" cm="1">
        <f t="array" aca="1" ref="P68" ca="1">IF(INDIRECT("'"&amp;B68&amp;"'!L"&amp;C68)=0,"",INDIRECT("'"&amp;B68&amp;"'!L"&amp;C68))</f>
        <v/>
      </c>
      <c r="Q68" s="527" t="str">
        <f t="shared" ca="1" si="8"/>
        <v/>
      </c>
      <c r="R68" s="563" t="str">
        <f t="shared" ca="1" si="9"/>
        <v>Yes</v>
      </c>
      <c r="S68" s="528" t="s">
        <v>1580</v>
      </c>
      <c r="T68" s="529" t="str">
        <f t="shared" si="10"/>
        <v/>
      </c>
      <c r="U68" s="529" t="str">
        <f t="shared" si="11"/>
        <v/>
      </c>
      <c r="V68" s="529" t="str">
        <f t="shared" si="12"/>
        <v>X</v>
      </c>
      <c r="W68" s="529" t="str">
        <f t="shared" si="13"/>
        <v/>
      </c>
      <c r="X68" s="529" t="str">
        <f t="shared" si="14"/>
        <v/>
      </c>
      <c r="Y68" s="529" t="str">
        <f t="shared" si="15"/>
        <v/>
      </c>
    </row>
    <row r="69" spans="1:25" ht="62.65" x14ac:dyDescent="0.2">
      <c r="A69" s="253" t="s">
        <v>576</v>
      </c>
      <c r="B69" s="253" t="s">
        <v>1586</v>
      </c>
      <c r="C69" s="253">
        <v>7</v>
      </c>
      <c r="D69" s="253" t="s">
        <v>1579</v>
      </c>
      <c r="E69" s="253">
        <v>2.4</v>
      </c>
      <c r="F69" s="253" t="s">
        <v>1571</v>
      </c>
      <c r="G69" s="215" t="str" cm="1">
        <f t="array" aca="1" ref="G69" ca="1">IF(INDIRECT("'"&amp;B69&amp;"'!B"&amp;C69)=0,"",INDIRECT("'"&amp;B69&amp;"'!B"&amp;C69))</f>
        <v>x</v>
      </c>
      <c r="H69" s="215" t="str" cm="1">
        <f t="array" aca="1" ref="H69" ca="1">IF(INDIRECT("'"&amp;B69&amp;"'!C"&amp;C69)=0,"",INDIRECT("'"&amp;B69&amp;"'!C"&amp;C69))</f>
        <v>x</v>
      </c>
      <c r="I69" s="215" t="str" cm="1">
        <f t="array" aca="1" ref="I69" ca="1">IF(INDIRECT("'"&amp;B69&amp;"'!D"&amp;C69)=0,"",INDIRECT("'"&amp;B69&amp;"'!D"&amp;C69))</f>
        <v>x</v>
      </c>
      <c r="J69" s="215" t="str" cm="1">
        <f t="array" aca="1" ref="J69" ca="1">IF(INDIRECT("'"&amp;B69&amp;"'!E"&amp;C69)=0,"",INDIRECT("'"&amp;B69&amp;"'!E"&amp;C69))</f>
        <v/>
      </c>
      <c r="K69" s="253" cm="1">
        <f t="array" aca="1" ref="K69" ca="1">IF(INDIRECT("'"&amp;B69&amp;"'!F"&amp;C69)=0,"N/A",INDIRECT("'"&amp;B69&amp;"'!F"&amp;C69))</f>
        <v>4.2</v>
      </c>
      <c r="L69" s="253" cm="1">
        <f t="array" aca="1" ref="L69" ca="1">IF(INDIRECT("'"&amp;B69&amp;"'!G"&amp;C69)=0,"N/A",INDIRECT("'"&amp;B69&amp;"'!G"&amp;C69))</f>
        <v>3</v>
      </c>
      <c r="M69" s="253" t="str" cm="1">
        <f t="array" aca="1" ref="M69" ca="1">IF(INDIRECT("'"&amp;B69&amp;"'!H"&amp;C69)=0,"N/A",INDIRECT("'"&amp;B69&amp;"'!H"&amp;C69))</f>
        <v>4.2 #3</v>
      </c>
      <c r="N69" s="221" t="str" cm="1">
        <f t="array" aca="1" ref="N69" ca="1">IF(INDIRECT("'"&amp;B69&amp;"'!I"&amp;C69)=0,"N/A",INDIRECT("'"&amp;B69&amp;"'!I"&amp;C69))</f>
        <v>มีการกำหนดมาตรการรักษาความปลอดภัยของข้อมูลที่อยู่บนสื่อบันทึกข้อมูล โดยดำเนินการดังนี้
    (1) คำนึงถึงความเสี่ยงที่สื่อบันทึกข้อมูลอาจเสื่อมสภาพ รวมทั้งวิธีการนำข้อมูลกลับมาใช้งานใหม่ ในกรณีที่จัดเก็บข้อมูลเป็นระยะเวลานาน
    (2) จัดเก็บสื่อบันทึกข้อมูลในพื้นที่ที่มีความมั่นคงปลอดภัย และเป็นไปตามคำแนะนำของผู้ผลิต (ถ้ามี)
    (3) จัดให้มีมาตรการรักษาความปลอดภัยของสื่อบันทึกข้อมูลระหว่างการขนส่ง (physical media transfer)</v>
      </c>
      <c r="O69" s="533" t="str" cm="1">
        <f t="array" aca="1" ref="O69" ca="1">IF(INDIRECT("'"&amp;B69&amp;"'!N"&amp;C69)=0,"N/A",INDIRECT("'"&amp;B69&amp;"'!N"&amp;C69))</f>
        <v>Yes/Partial/No</v>
      </c>
      <c r="P69" s="527" t="str" cm="1">
        <f t="array" aca="1" ref="P69" ca="1">IF(INDIRECT("'"&amp;B69&amp;"'!L"&amp;C69)=0,"",INDIRECT("'"&amp;B69&amp;"'!L"&amp;C69))</f>
        <v/>
      </c>
      <c r="Q69" s="527" t="str">
        <f t="shared" ca="1" si="8"/>
        <v/>
      </c>
      <c r="R69" s="563" t="str">
        <f t="shared" ca="1" si="9"/>
        <v>Yes</v>
      </c>
      <c r="S69" s="528" t="s">
        <v>1580</v>
      </c>
      <c r="T69" s="529" t="str">
        <f t="shared" si="10"/>
        <v/>
      </c>
      <c r="U69" s="529" t="str">
        <f t="shared" si="11"/>
        <v/>
      </c>
      <c r="V69" s="529" t="str">
        <f t="shared" si="12"/>
        <v>X</v>
      </c>
      <c r="W69" s="529" t="str">
        <f t="shared" si="13"/>
        <v/>
      </c>
      <c r="X69" s="529" t="str">
        <f t="shared" si="14"/>
        <v/>
      </c>
      <c r="Y69" s="529" t="str">
        <f t="shared" si="15"/>
        <v/>
      </c>
    </row>
    <row r="70" spans="1:25" ht="25.05" x14ac:dyDescent="0.2">
      <c r="A70" s="253" t="s">
        <v>580</v>
      </c>
      <c r="B70" s="253" t="s">
        <v>1586</v>
      </c>
      <c r="C70" s="253">
        <v>8</v>
      </c>
      <c r="D70" s="253" t="s">
        <v>1579</v>
      </c>
      <c r="E70" s="253">
        <v>2.4</v>
      </c>
      <c r="F70" s="253" t="s">
        <v>1571</v>
      </c>
      <c r="G70" s="215" t="str" cm="1">
        <f t="array" aca="1" ref="G70" ca="1">IF(INDIRECT("'"&amp;B70&amp;"'!B"&amp;C70)=0,"",INDIRECT("'"&amp;B70&amp;"'!B"&amp;C70))</f>
        <v>x</v>
      </c>
      <c r="H70" s="215" t="str" cm="1">
        <f t="array" aca="1" ref="H70" ca="1">IF(INDIRECT("'"&amp;B70&amp;"'!C"&amp;C70)=0,"",INDIRECT("'"&amp;B70&amp;"'!C"&amp;C70))</f>
        <v>x</v>
      </c>
      <c r="I70" s="215" t="str" cm="1">
        <f t="array" aca="1" ref="I70" ca="1">IF(INDIRECT("'"&amp;B70&amp;"'!D"&amp;C70)=0,"",INDIRECT("'"&amp;B70&amp;"'!D"&amp;C70))</f>
        <v>x</v>
      </c>
      <c r="J70" s="215" t="str" cm="1">
        <f t="array" aca="1" ref="J70" ca="1">IF(INDIRECT("'"&amp;B70&amp;"'!E"&amp;C70)=0,"",INDIRECT("'"&amp;B70&amp;"'!E"&amp;C70))</f>
        <v/>
      </c>
      <c r="K70" s="253" cm="1">
        <f t="array" aca="1" ref="K70" ca="1">IF(INDIRECT("'"&amp;B70&amp;"'!F"&amp;C70)=0,"N/A",INDIRECT("'"&amp;B70&amp;"'!F"&amp;C70))</f>
        <v>4.3</v>
      </c>
      <c r="L70" s="253" cm="1">
        <f t="array" aca="1" ref="L70" ca="1">IF(INDIRECT("'"&amp;B70&amp;"'!G"&amp;C70)=0,"N/A",INDIRECT("'"&amp;B70&amp;"'!G"&amp;C70))</f>
        <v>1</v>
      </c>
      <c r="M70" s="253" t="str" cm="1">
        <f t="array" aca="1" ref="M70" ca="1">IF(INDIRECT("'"&amp;B70&amp;"'!H"&amp;C70)=0,"N/A",INDIRECT("'"&amp;B70&amp;"'!H"&amp;C70))</f>
        <v>4.3 #1</v>
      </c>
      <c r="N70" s="221" t="str" cm="1">
        <f t="array" aca="1" ref="N70" ca="1">IF(INDIRECT("'"&amp;B70&amp;"'!I"&amp;C70)=0,"N/A",INDIRECT("'"&amp;B70&amp;"'!I"&amp;C70))</f>
        <v xml:space="preserve">มีการกำหนดระเบียบปฏิบัติในการทำลายข้อมูล (data disposal) ซึ่งครอบคลุมหน้าที่ความรับผิดชอบของเจ้าของข้อมูล หน่วยงานที่เกี่ยวข้อง และวิธีการทำลายข้อมูลที่เหมาะสมกับชั้นความลับของข้อมูล </v>
      </c>
      <c r="O70" s="533" t="str" cm="1">
        <f t="array" aca="1" ref="O70" ca="1">IF(INDIRECT("'"&amp;B70&amp;"'!N"&amp;C70)=0,"N/A",INDIRECT("'"&amp;B70&amp;"'!N"&amp;C70))</f>
        <v>Yes/Partial/No</v>
      </c>
      <c r="P70" s="527" t="str" cm="1">
        <f t="array" aca="1" ref="P70" ca="1">IF(INDIRECT("'"&amp;B70&amp;"'!L"&amp;C70)=0,"",INDIRECT("'"&amp;B70&amp;"'!L"&amp;C70))</f>
        <v/>
      </c>
      <c r="Q70" s="527" t="str">
        <f t="shared" ca="1" si="8"/>
        <v/>
      </c>
      <c r="R70" s="563" t="str">
        <f t="shared" ca="1" si="9"/>
        <v>Yes</v>
      </c>
      <c r="S70" s="528" t="s">
        <v>1588</v>
      </c>
      <c r="T70" s="529" t="str">
        <f t="shared" si="10"/>
        <v>X</v>
      </c>
      <c r="U70" s="529" t="str">
        <f t="shared" si="11"/>
        <v>X</v>
      </c>
      <c r="V70" s="529" t="str">
        <f t="shared" si="12"/>
        <v/>
      </c>
      <c r="W70" s="529" t="str">
        <f t="shared" si="13"/>
        <v/>
      </c>
      <c r="X70" s="529" t="str">
        <f t="shared" si="14"/>
        <v/>
      </c>
      <c r="Y70" s="529" t="str">
        <f t="shared" si="15"/>
        <v/>
      </c>
    </row>
    <row r="71" spans="1:25" ht="25.05" x14ac:dyDescent="0.2">
      <c r="A71" s="253" t="s">
        <v>584</v>
      </c>
      <c r="B71" s="253" t="s">
        <v>1586</v>
      </c>
      <c r="C71" s="253">
        <v>9</v>
      </c>
      <c r="D71" s="253" t="s">
        <v>1579</v>
      </c>
      <c r="E71" s="253">
        <v>2.4</v>
      </c>
      <c r="F71" s="253" t="s">
        <v>1571</v>
      </c>
      <c r="G71" s="215" t="str" cm="1">
        <f t="array" aca="1" ref="G71" ca="1">IF(INDIRECT("'"&amp;B71&amp;"'!B"&amp;C71)=0,"",INDIRECT("'"&amp;B71&amp;"'!B"&amp;C71))</f>
        <v>x</v>
      </c>
      <c r="H71" s="215" t="str" cm="1">
        <f t="array" aca="1" ref="H71" ca="1">IF(INDIRECT("'"&amp;B71&amp;"'!C"&amp;C71)=0,"",INDIRECT("'"&amp;B71&amp;"'!C"&amp;C71))</f>
        <v>x</v>
      </c>
      <c r="I71" s="215" t="str" cm="1">
        <f t="array" aca="1" ref="I71" ca="1">IF(INDIRECT("'"&amp;B71&amp;"'!D"&amp;C71)=0,"",INDIRECT("'"&amp;B71&amp;"'!D"&amp;C71))</f>
        <v>x</v>
      </c>
      <c r="J71" s="215" t="str" cm="1">
        <f t="array" aca="1" ref="J71" ca="1">IF(INDIRECT("'"&amp;B71&amp;"'!E"&amp;C71)=0,"",INDIRECT("'"&amp;B71&amp;"'!E"&amp;C71))</f>
        <v/>
      </c>
      <c r="K71" s="253" cm="1">
        <f t="array" aca="1" ref="K71" ca="1">IF(INDIRECT("'"&amp;B71&amp;"'!F"&amp;C71)=0,"N/A",INDIRECT("'"&amp;B71&amp;"'!F"&amp;C71))</f>
        <v>4.3</v>
      </c>
      <c r="L71" s="253" cm="1">
        <f t="array" aca="1" ref="L71" ca="1">IF(INDIRECT("'"&amp;B71&amp;"'!G"&amp;C71)=0,"N/A",INDIRECT("'"&amp;B71&amp;"'!G"&amp;C71))</f>
        <v>2</v>
      </c>
      <c r="M71" s="253" t="str" cm="1">
        <f t="array" aca="1" ref="M71" ca="1">IF(INDIRECT("'"&amp;B71&amp;"'!H"&amp;C71)=0,"N/A",INDIRECT("'"&amp;B71&amp;"'!H"&amp;C71))</f>
        <v>4.3 #2</v>
      </c>
      <c r="N71" s="221" t="str" cm="1">
        <f t="array" aca="1" ref="N71" ca="1">IF(INDIRECT("'"&amp;B71&amp;"'!I"&amp;C71)=0,"N/A",INDIRECT("'"&amp;B71&amp;"'!I"&amp;C71))</f>
        <v>มีการกำหนดกระบวนการควบคุมการทำลายข้อมูลที่ครอบคลุมการขออนุมัติจากเจ้าของข้อมูลก่อนดำเนินการการควบคุมและสอบทานการปฏิบัติงาน และการจัดทำทะเบียนการทำลายข้อมูลสำคัญ</v>
      </c>
      <c r="O71" s="533" t="str" cm="1">
        <f t="array" aca="1" ref="O71" ca="1">IF(INDIRECT("'"&amp;B71&amp;"'!N"&amp;C71)=0,"N/A",INDIRECT("'"&amp;B71&amp;"'!N"&amp;C71))</f>
        <v>Yes/Partial/No</v>
      </c>
      <c r="P71" s="527" t="str" cm="1">
        <f t="array" aca="1" ref="P71" ca="1">IF(INDIRECT("'"&amp;B71&amp;"'!L"&amp;C71)=0,"",INDIRECT("'"&amp;B71&amp;"'!L"&amp;C71))</f>
        <v/>
      </c>
      <c r="Q71" s="527" t="str">
        <f t="shared" ca="1" si="8"/>
        <v/>
      </c>
      <c r="R71" s="563" t="str">
        <f t="shared" ca="1" si="9"/>
        <v>Yes</v>
      </c>
      <c r="S71" s="528" t="s">
        <v>1588</v>
      </c>
      <c r="T71" s="529" t="str">
        <f t="shared" si="10"/>
        <v>X</v>
      </c>
      <c r="U71" s="529" t="str">
        <f t="shared" si="11"/>
        <v>X</v>
      </c>
      <c r="V71" s="529" t="str">
        <f t="shared" si="12"/>
        <v/>
      </c>
      <c r="W71" s="529" t="str">
        <f t="shared" si="13"/>
        <v/>
      </c>
      <c r="X71" s="529" t="str">
        <f t="shared" si="14"/>
        <v/>
      </c>
      <c r="Y71" s="529" t="str">
        <f t="shared" si="15"/>
        <v/>
      </c>
    </row>
    <row r="72" spans="1:25" ht="100.2" x14ac:dyDescent="0.2">
      <c r="A72" s="253" t="s">
        <v>588</v>
      </c>
      <c r="B72" s="253" t="s">
        <v>1586</v>
      </c>
      <c r="C72" s="253">
        <v>10</v>
      </c>
      <c r="D72" s="253" t="s">
        <v>1579</v>
      </c>
      <c r="E72" s="253">
        <v>2.4</v>
      </c>
      <c r="F72" s="253" t="s">
        <v>1571</v>
      </c>
      <c r="G72" s="215" t="str" cm="1">
        <f t="array" aca="1" ref="G72" ca="1">IF(INDIRECT("'"&amp;B72&amp;"'!B"&amp;C72)=0,"",INDIRECT("'"&amp;B72&amp;"'!B"&amp;C72))</f>
        <v>x</v>
      </c>
      <c r="H72" s="215" t="str" cm="1">
        <f t="array" aca="1" ref="H72" ca="1">IF(INDIRECT("'"&amp;B72&amp;"'!C"&amp;C72)=0,"",INDIRECT("'"&amp;B72&amp;"'!C"&amp;C72))</f>
        <v>x</v>
      </c>
      <c r="I72" s="215" t="str" cm="1">
        <f t="array" aca="1" ref="I72" ca="1">IF(INDIRECT("'"&amp;B72&amp;"'!D"&amp;C72)=0,"",INDIRECT("'"&amp;B72&amp;"'!D"&amp;C72))</f>
        <v>x</v>
      </c>
      <c r="J72" s="215" t="str" cm="1">
        <f t="array" aca="1" ref="J72" ca="1">IF(INDIRECT("'"&amp;B72&amp;"'!E"&amp;C72)=0,"",INDIRECT("'"&amp;B72&amp;"'!E"&amp;C72))</f>
        <v/>
      </c>
      <c r="K72" s="253" cm="1">
        <f t="array" aca="1" ref="K72" ca="1">IF(INDIRECT("'"&amp;B72&amp;"'!F"&amp;C72)=0,"N/A",INDIRECT("'"&amp;B72&amp;"'!F"&amp;C72))</f>
        <v>4.4000000000000004</v>
      </c>
      <c r="L72" s="253" cm="1">
        <f t="array" aca="1" ref="L72" ca="1">IF(INDIRECT("'"&amp;B72&amp;"'!G"&amp;C72)=0,"N/A",INDIRECT("'"&amp;B72&amp;"'!G"&amp;C72))</f>
        <v>1</v>
      </c>
      <c r="M72" s="253" t="str" cm="1">
        <f t="array" aca="1" ref="M72" ca="1">IF(INDIRECT("'"&amp;B72&amp;"'!H"&amp;C72)=0,"N/A",INDIRECT("'"&amp;B72&amp;"'!H"&amp;C72))</f>
        <v>4.4 #1</v>
      </c>
      <c r="N72" s="221" t="str" cm="1">
        <f t="array" aca="1" ref="N72" ca="1">IF(INDIRECT("'"&amp;B72&amp;"'!I"&amp;C72)=0,"N/A",INDIRECT("'"&amp;B72&amp;"'!I"&amp;C72))</f>
        <v>มีการทำทะเบียนทรัพย์สินด้าน IT ประเภทข้อมูล (data Inventory) ให้ครบถ้วนทุกประเภทข้อมูลและเป็นปัจจุบัน และมีรายละเอียดเพียงพอต่อการปฏิบัติงาน ดังนี้
    (1) เลขทะเบียนข้อมูล
    (2) ชื่อข้อมูลหรือชุดข้อมูล
    (3) รายละเอียดลักษณะและประเภทของข้อมูล
    (4) ระดับชั้นความลับและระดับความสำคัญของข้อมูล
    (5) เจ้าของข้อมูลและผู้ดูแลข้อมูล (data owner)
    (6) สถานที่ หรือเครื่องแม่ข่ายที่จัดเก็บ</v>
      </c>
      <c r="O72" s="533" t="str" cm="1">
        <f t="array" aca="1" ref="O72" ca="1">IF(INDIRECT("'"&amp;B72&amp;"'!N"&amp;C72)=0,"N/A",INDIRECT("'"&amp;B72&amp;"'!N"&amp;C72))</f>
        <v>Yes/Partial/No</v>
      </c>
      <c r="P72" s="527" t="str" cm="1">
        <f t="array" aca="1" ref="P72" ca="1">IF(INDIRECT("'"&amp;B72&amp;"'!L"&amp;C72)=0,"",INDIRECT("'"&amp;B72&amp;"'!L"&amp;C72))</f>
        <v/>
      </c>
      <c r="Q72" s="527" t="str">
        <f t="shared" ca="1" si="8"/>
        <v/>
      </c>
      <c r="R72" s="563" t="str">
        <f t="shared" ca="1" si="9"/>
        <v>Yes</v>
      </c>
      <c r="S72" s="528" t="s">
        <v>1575</v>
      </c>
      <c r="T72" s="529" t="str">
        <f t="shared" si="10"/>
        <v/>
      </c>
      <c r="U72" s="529" t="str">
        <f t="shared" si="11"/>
        <v>X</v>
      </c>
      <c r="V72" s="529" t="str">
        <f t="shared" si="12"/>
        <v/>
      </c>
      <c r="W72" s="529" t="str">
        <f t="shared" si="13"/>
        <v/>
      </c>
      <c r="X72" s="529" t="str">
        <f t="shared" si="14"/>
        <v/>
      </c>
      <c r="Y72" s="529" t="str">
        <f t="shared" si="15"/>
        <v/>
      </c>
    </row>
    <row r="73" spans="1:25" ht="25.05" x14ac:dyDescent="0.2">
      <c r="A73" s="253" t="s">
        <v>592</v>
      </c>
      <c r="B73" s="253" t="s">
        <v>1586</v>
      </c>
      <c r="C73" s="253">
        <v>11</v>
      </c>
      <c r="D73" s="253" t="s">
        <v>1579</v>
      </c>
      <c r="E73" s="253">
        <v>2.4</v>
      </c>
      <c r="F73" s="253" t="s">
        <v>1571</v>
      </c>
      <c r="G73" s="215" t="str" cm="1">
        <f t="array" aca="1" ref="G73" ca="1">IF(INDIRECT("'"&amp;B73&amp;"'!B"&amp;C73)=0,"",INDIRECT("'"&amp;B73&amp;"'!B"&amp;C73))</f>
        <v>x</v>
      </c>
      <c r="H73" s="215" t="str" cm="1">
        <f t="array" aca="1" ref="H73" ca="1">IF(INDIRECT("'"&amp;B73&amp;"'!C"&amp;C73)=0,"",INDIRECT("'"&amp;B73&amp;"'!C"&amp;C73))</f>
        <v>x</v>
      </c>
      <c r="I73" s="215" t="str" cm="1">
        <f t="array" aca="1" ref="I73" ca="1">IF(INDIRECT("'"&amp;B73&amp;"'!D"&amp;C73)=0,"",INDIRECT("'"&amp;B73&amp;"'!D"&amp;C73))</f>
        <v>x</v>
      </c>
      <c r="J73" s="215" t="str" cm="1">
        <f t="array" aca="1" ref="J73" ca="1">IF(INDIRECT("'"&amp;B73&amp;"'!E"&amp;C73)=0,"",INDIRECT("'"&amp;B73&amp;"'!E"&amp;C73))</f>
        <v/>
      </c>
      <c r="K73" s="253" cm="1">
        <f t="array" aca="1" ref="K73" ca="1">IF(INDIRECT("'"&amp;B73&amp;"'!F"&amp;C73)=0,"N/A",INDIRECT("'"&amp;B73&amp;"'!F"&amp;C73))</f>
        <v>4.4000000000000004</v>
      </c>
      <c r="L73" s="253" cm="1">
        <f t="array" aca="1" ref="L73" ca="1">IF(INDIRECT("'"&amp;B73&amp;"'!G"&amp;C73)=0,"N/A",INDIRECT("'"&amp;B73&amp;"'!G"&amp;C73))</f>
        <v>2</v>
      </c>
      <c r="M73" s="253" t="str" cm="1">
        <f t="array" aca="1" ref="M73" ca="1">IF(INDIRECT("'"&amp;B73&amp;"'!H"&amp;C73)=0,"N/A",INDIRECT("'"&amp;B73&amp;"'!H"&amp;C73))</f>
        <v>4.4 #2</v>
      </c>
      <c r="N73" s="221" t="str" cm="1">
        <f t="array" aca="1" ref="N73" ca="1">IF(INDIRECT("'"&amp;B73&amp;"'!I"&amp;C73)=0,"N/A",INDIRECT("'"&amp;B73&amp;"'!I"&amp;C73))</f>
        <v>มีการปรับปรุงทรัพย์สินด้าน IT ประเภทข้อมูล (data Inventory) ให้ครบถ้วนและเป็นปัจจุบันอย่างสม่ำเสมอ อย่างน้อยปีละ 1 ครั้ง และทุกครั้งที่มีการเปลี่ยนแปลงระบบ IT อย่างมีนัยสำคัญ</v>
      </c>
      <c r="O73" s="533" t="str" cm="1">
        <f t="array" aca="1" ref="O73" ca="1">IF(INDIRECT("'"&amp;B73&amp;"'!N"&amp;C73)=0,"N/A",INDIRECT("'"&amp;B73&amp;"'!N"&amp;C73))</f>
        <v>Yes/Partial/No</v>
      </c>
      <c r="P73" s="527" t="str" cm="1">
        <f t="array" aca="1" ref="P73" ca="1">IF(INDIRECT("'"&amp;B73&amp;"'!L"&amp;C73)=0,"",INDIRECT("'"&amp;B73&amp;"'!L"&amp;C73))</f>
        <v/>
      </c>
      <c r="Q73" s="527" t="str">
        <f t="shared" ca="1" si="8"/>
        <v/>
      </c>
      <c r="R73" s="563" t="str">
        <f t="shared" ca="1" si="9"/>
        <v>Yes</v>
      </c>
      <c r="S73" s="528" t="s">
        <v>1585</v>
      </c>
      <c r="T73" s="529"/>
      <c r="U73" s="529" t="str">
        <f t="shared" si="11"/>
        <v>X</v>
      </c>
      <c r="V73" s="529"/>
      <c r="W73" s="529"/>
      <c r="X73" s="529"/>
      <c r="Y73" s="529"/>
    </row>
    <row r="74" spans="1:25" ht="100.2" x14ac:dyDescent="0.2">
      <c r="A74" s="253" t="s">
        <v>597</v>
      </c>
      <c r="B74" s="253" t="s">
        <v>1589</v>
      </c>
      <c r="C74" s="253">
        <v>4</v>
      </c>
      <c r="D74" s="253" t="s">
        <v>1579</v>
      </c>
      <c r="E74" s="253">
        <v>2.5</v>
      </c>
      <c r="F74" s="253" t="s">
        <v>1571</v>
      </c>
      <c r="G74" s="215" t="str" cm="1">
        <f t="array" aca="1" ref="G74" ca="1">IF(INDIRECT("'"&amp;B74&amp;"'!B"&amp;C74)=0,"",INDIRECT("'"&amp;B74&amp;"'!B"&amp;C74))</f>
        <v>x</v>
      </c>
      <c r="H74" s="215" t="str" cm="1">
        <f t="array" aca="1" ref="H74" ca="1">IF(INDIRECT("'"&amp;B74&amp;"'!C"&amp;C74)=0,"",INDIRECT("'"&amp;B74&amp;"'!C"&amp;C74))</f>
        <v>x</v>
      </c>
      <c r="I74" s="215" t="str" cm="1">
        <f t="array" aca="1" ref="I74" ca="1">IF(INDIRECT("'"&amp;B74&amp;"'!D"&amp;C74)=0,"",INDIRECT("'"&amp;B74&amp;"'!D"&amp;C74))</f>
        <v>x</v>
      </c>
      <c r="J74" s="215" t="str" cm="1">
        <f t="array" aca="1" ref="J74" ca="1">IF(INDIRECT("'"&amp;B74&amp;"'!E"&amp;C74)=0,"",INDIRECT("'"&amp;B74&amp;"'!E"&amp;C74))</f>
        <v>x</v>
      </c>
      <c r="K74" s="253" cm="1">
        <f t="array" aca="1" ref="K74" ca="1">IF(INDIRECT("'"&amp;B74&amp;"'!F"&amp;C74)=0,"N/A",INDIRECT("'"&amp;B74&amp;"'!F"&amp;C74))</f>
        <v>5.0999999999999996</v>
      </c>
      <c r="L74" s="253" cm="1">
        <f t="array" aca="1" ref="L74" ca="1">IF(INDIRECT("'"&amp;B74&amp;"'!G"&amp;C74)=0,"N/A",INDIRECT("'"&amp;B74&amp;"'!G"&amp;C74))</f>
        <v>1</v>
      </c>
      <c r="M74" s="253" t="str" cm="1">
        <f t="array" aca="1" ref="M74" ca="1">IF(INDIRECT("'"&amp;B74&amp;"'!H"&amp;C74)=0,"N/A",INDIRECT("'"&amp;B74&amp;"'!H"&amp;C74))</f>
        <v>5.1 #1</v>
      </c>
      <c r="N74" s="221" t="str" cm="1">
        <f t="array" aca="1" ref="N74" ca="1">IF(INDIRECT("'"&amp;B74&amp;"'!I"&amp;C74)=0,"N/A",INDIRECT("'"&amp;B74&amp;"'!I"&amp;C74))</f>
        <v>มีแนวทางการบริหารจัดการบัญชีผู้ใช้งาน โดยครอบคลุมอย่างน้อย 
    (1) หน่วยงานที่รับผิดชอบในการบริหารจัดการบัญชีผู้ใช้งาน
    (2) ขั้นตอนการสร้างบัญชีผู้ใช้งาน โดยบัญชีผู้ใช้งาน (user ID) ควรระบุตัวตนผู้ใช้งานได้ หลีกเลี่ยงการใช้บัญชีผู้ใช้งานที่มีผู้ใช้งานมากกว่า 1 ราย (shared ID)
    (3) การจำกัดหรือหลีกเลี่ยงการใช้งานบัญชีผู้ใช้งานที่มาพร้อมกับระบบ (default user account)
    (4) การทบทวนบัญชีผู้ใช้งานอย่างน้อยปีละ 1 ครั้ง
    (5) การระงับหรือลบบัญชีผู้ใช้งานเมื่อ (1) ผู้ใช้งานสิ้นสุดสภาพการเป็นพนักงาน และ (2) ไม่มีความจำเป็นต้องใช้งาน</v>
      </c>
      <c r="O74" s="533" t="str" cm="1">
        <f t="array" aca="1" ref="O74" ca="1">IF(INDIRECT("'"&amp;B74&amp;"'!N"&amp;C74)=0,"N/A",INDIRECT("'"&amp;B74&amp;"'!N"&amp;C74))</f>
        <v>Maturity</v>
      </c>
      <c r="P74" s="527" t="str" cm="1">
        <f t="array" aca="1" ref="P74" ca="1">IF(INDIRECT("'"&amp;B74&amp;"'!L"&amp;C74)=0,"",INDIRECT("'"&amp;B74&amp;"'!L"&amp;C74))</f>
        <v/>
      </c>
      <c r="Q74" s="527" t="str">
        <f t="shared" ca="1" si="8"/>
        <v/>
      </c>
      <c r="R74" s="563" t="str">
        <f t="shared" ca="1" si="9"/>
        <v>Yes</v>
      </c>
      <c r="S74" s="528" t="s">
        <v>1590</v>
      </c>
      <c r="T74" s="529" t="str">
        <f t="shared" si="10"/>
        <v>X</v>
      </c>
      <c r="U74" s="529" t="str">
        <f t="shared" si="11"/>
        <v/>
      </c>
      <c r="V74" s="529" t="str">
        <f t="shared" si="12"/>
        <v>X</v>
      </c>
      <c r="W74" s="529" t="str">
        <f t="shared" si="13"/>
        <v/>
      </c>
      <c r="X74" s="529" t="str">
        <f t="shared" si="14"/>
        <v/>
      </c>
      <c r="Y74" s="529" t="str">
        <f t="shared" si="15"/>
        <v/>
      </c>
    </row>
    <row r="75" spans="1:25" ht="200.35" x14ac:dyDescent="0.2">
      <c r="A75" s="253" t="s">
        <v>606</v>
      </c>
      <c r="B75" s="253" t="s">
        <v>1589</v>
      </c>
      <c r="C75" s="253">
        <v>5</v>
      </c>
      <c r="D75" s="253" t="s">
        <v>1579</v>
      </c>
      <c r="E75" s="253">
        <v>2.5</v>
      </c>
      <c r="F75" s="253" t="s">
        <v>1571</v>
      </c>
      <c r="G75" s="215" t="str" cm="1">
        <f t="array" aca="1" ref="G75" ca="1">IF(INDIRECT("'"&amp;B75&amp;"'!B"&amp;C75)=0,"",INDIRECT("'"&amp;B75&amp;"'!B"&amp;C75))</f>
        <v>x</v>
      </c>
      <c r="H75" s="215" t="str" cm="1">
        <f t="array" aca="1" ref="H75" ca="1">IF(INDIRECT("'"&amp;B75&amp;"'!C"&amp;C75)=0,"",INDIRECT("'"&amp;B75&amp;"'!C"&amp;C75))</f>
        <v>x</v>
      </c>
      <c r="I75" s="215" t="str" cm="1">
        <f t="array" aca="1" ref="I75" ca="1">IF(INDIRECT("'"&amp;B75&amp;"'!D"&amp;C75)=0,"",INDIRECT("'"&amp;B75&amp;"'!D"&amp;C75))</f>
        <v>x</v>
      </c>
      <c r="J75" s="215" t="str" cm="1">
        <f t="array" aca="1" ref="J75" ca="1">IF(INDIRECT("'"&amp;B75&amp;"'!E"&amp;C75)=0,"",INDIRECT("'"&amp;B75&amp;"'!E"&amp;C75))</f>
        <v>x</v>
      </c>
      <c r="K75" s="253" cm="1">
        <f t="array" aca="1" ref="K75" ca="1">IF(INDIRECT("'"&amp;B75&amp;"'!F"&amp;C75)=0,"N/A",INDIRECT("'"&amp;B75&amp;"'!F"&amp;C75))</f>
        <v>5.0999999999999996</v>
      </c>
      <c r="L75" s="253" cm="1">
        <f t="array" aca="1" ref="L75" ca="1">IF(INDIRECT("'"&amp;B75&amp;"'!G"&amp;C75)=0,"N/A",INDIRECT("'"&amp;B75&amp;"'!G"&amp;C75))</f>
        <v>2</v>
      </c>
      <c r="M75" s="253" t="str" cm="1">
        <f t="array" aca="1" ref="M75" ca="1">IF(INDIRECT("'"&amp;B75&amp;"'!H"&amp;C75)=0,"N/A",INDIRECT("'"&amp;B75&amp;"'!H"&amp;C75))</f>
        <v>5.1 #2</v>
      </c>
      <c r="N75" s="221" t="str" cm="1">
        <f t="array" aca="1" ref="N75" ca="1">IF(INDIRECT("'"&amp;B75&amp;"'!I"&amp;C75)=0,"N/A",INDIRECT("'"&amp;B75&amp;"'!I"&amp;C75))</f>
        <v>มีแนวทางการบริหารจัดการสิทธิการเข้าถึงข้อมูลและระบบ IT ควรครอบคลุมอย่างน้อย ดังนี้
    (1) หน่วยงานที่รับผิดชอบในการบริหารจัดการสิทธิการเข้าถึงข้อมูลและระบบ IT
    (2) ขั้นตอนการขออนุมัติสิทธิในการเข้าถึงข้อมูลและระบบ IT จากผู้มีอำนาจ เช่น เจ้าของระบบ หรือเจ้าของข้อมูล เป็นต้น
    (3) ขั้นตอนการปรับปรุงสิทธิของผู้ใช้งานเมื่อมีการเปลี่ยนแปลงหน้าที่ความรับผิดชอบหรือตำแหน่งงาน
    (4) ขั้นตอนการเพิกถอนสิทธิของผู้ใช้งาน โดยเพิกถอนสิทธิทันทีเมื่อผู้ใช้งานสิ้นสุดสภาพการเป็นพนักงาน และเมื่อไม่มีความจำเป็นต้องใช้งาน
    (5) การแบ่งแยกบทบาทหน้าที่ของบุคคลที่เกี่ยวข้องในการจัดสรรสิทธิ เช่น ผู้ร้องขอ (access request) ผู้มีอำนาจอนุมัติ (access authorization) และผู้ดูแลสิทธิการเข้าถึง (access administration) เป็นต้น เพื่อให้สอดคล้องตามหลักการถ่วงดุล (check and balance) ที่ดี
    (6) กำหนดสิทธิของผู้ใช้งานโดยคำนึงถึงความจำเป็นต้องรู้ (need-to-know) ความจำเป็นต้องใช้งาน  (need-to-use) และหลักการแบ่งแยกหน้าที่ความรับผิดชอบ (segregation of duties)
    (7) จัดทำตารางควบคุมการให้สิทธิ (authorization matrix) ของผู้ใช้งานที่สอดคล้องกับตำแหน่งหน้าที่และความรับผิดชอบ เพื่อใช้เป็นแนวทางการกำหนดสิทธิอย่างถูกต้องเหมาะสม
    (8) ทบทวนสิทธิการเข้าถึงอย่างสม่ำเสมอ อย่างน้อยปีละ 1 ครั้ง โดยกำหนดรอบระยะเวลาในการทบทวนสิทธิให้สอดคล้องกับความเสี่ยงและความสำคัญของสิทธิ</v>
      </c>
      <c r="O75" s="533" t="str" cm="1">
        <f t="array" aca="1" ref="O75" ca="1">IF(INDIRECT("'"&amp;B75&amp;"'!N"&amp;C75)=0,"N/A",INDIRECT("'"&amp;B75&amp;"'!N"&amp;C75))</f>
        <v>Maturity</v>
      </c>
      <c r="P75" s="527" t="str" cm="1">
        <f t="array" aca="1" ref="P75" ca="1">IF(INDIRECT("'"&amp;B75&amp;"'!L"&amp;C75)=0,"",INDIRECT("'"&amp;B75&amp;"'!L"&amp;C75))</f>
        <v/>
      </c>
      <c r="Q75" s="527" t="str">
        <f t="shared" ca="1" si="8"/>
        <v/>
      </c>
      <c r="R75" s="563" t="str">
        <f t="shared" ca="1" si="9"/>
        <v>Yes</v>
      </c>
      <c r="S75" s="528" t="s">
        <v>1590</v>
      </c>
      <c r="T75" s="529" t="str">
        <f t="shared" si="10"/>
        <v>X</v>
      </c>
      <c r="U75" s="529" t="str">
        <f t="shared" si="11"/>
        <v/>
      </c>
      <c r="V75" s="529" t="str">
        <f t="shared" si="12"/>
        <v>X</v>
      </c>
      <c r="W75" s="529" t="str">
        <f t="shared" si="13"/>
        <v/>
      </c>
      <c r="X75" s="529" t="str">
        <f t="shared" si="14"/>
        <v/>
      </c>
      <c r="Y75" s="529" t="str">
        <f t="shared" si="15"/>
        <v/>
      </c>
    </row>
    <row r="76" spans="1:25" ht="212.9" x14ac:dyDescent="0.2">
      <c r="A76" s="253" t="s">
        <v>615</v>
      </c>
      <c r="B76" s="253" t="s">
        <v>1589</v>
      </c>
      <c r="C76" s="253">
        <v>6</v>
      </c>
      <c r="D76" s="253" t="s">
        <v>1579</v>
      </c>
      <c r="E76" s="253">
        <v>2.5</v>
      </c>
      <c r="F76" s="253" t="s">
        <v>1571</v>
      </c>
      <c r="G76" s="215" t="str" cm="1">
        <f t="array" aca="1" ref="G76" ca="1">IF(INDIRECT("'"&amp;B76&amp;"'!B"&amp;C76)=0,"",INDIRECT("'"&amp;B76&amp;"'!B"&amp;C76))</f>
        <v>x</v>
      </c>
      <c r="H76" s="215" t="str" cm="1">
        <f t="array" aca="1" ref="H76" ca="1">IF(INDIRECT("'"&amp;B76&amp;"'!C"&amp;C76)=0,"",INDIRECT("'"&amp;B76&amp;"'!C"&amp;C76))</f>
        <v>x</v>
      </c>
      <c r="I76" s="215" t="str" cm="1">
        <f t="array" aca="1" ref="I76" ca="1">IF(INDIRECT("'"&amp;B76&amp;"'!D"&amp;C76)=0,"",INDIRECT("'"&amp;B76&amp;"'!D"&amp;C76))</f>
        <v>x</v>
      </c>
      <c r="J76" s="215" t="str" cm="1">
        <f t="array" aca="1" ref="J76" ca="1">IF(INDIRECT("'"&amp;B76&amp;"'!E"&amp;C76)=0,"",INDIRECT("'"&amp;B76&amp;"'!E"&amp;C76))</f>
        <v>x</v>
      </c>
      <c r="K76" s="253" cm="1">
        <f t="array" aca="1" ref="K76" ca="1">IF(INDIRECT("'"&amp;B76&amp;"'!F"&amp;C76)=0,"N/A",INDIRECT("'"&amp;B76&amp;"'!F"&amp;C76))</f>
        <v>5.2</v>
      </c>
      <c r="L76" s="253" cm="1">
        <f t="array" aca="1" ref="L76" ca="1">IF(INDIRECT("'"&amp;B76&amp;"'!G"&amp;C76)=0,"N/A",INDIRECT("'"&amp;B76&amp;"'!G"&amp;C76))</f>
        <v>1</v>
      </c>
      <c r="M76" s="253" t="str" cm="1">
        <f t="array" aca="1" ref="M76" ca="1">IF(INDIRECT("'"&amp;B76&amp;"'!H"&amp;C76)=0,"N/A",INDIRECT("'"&amp;B76&amp;"'!H"&amp;C76))</f>
        <v>5.2 #1</v>
      </c>
      <c r="N76" s="221" t="str" cm="1">
        <f t="array" aca="1" ref="N76" ca="1">IF(INDIRECT("'"&amp;B76&amp;"'!I"&amp;C76)=0,"N/A",INDIRECT("'"&amp;B76&amp;"'!I"&amp;C76))</f>
        <v>มีกระบวนการยืนยันตัวตนผู้ใช้งาน (authentication) ที่เหมาะสมกับความเสี่ยง และป้องกันการปฏิเสธความรับผิด โดยครอบคลุมอย่างน้อย ดังนี้
    (1) กำหนดวิธีการยืนยันตัวตนผู้ใช้งานที่เหมาะสมกับความเสี่ยง 
    (2) กรณีที่มีการสร้างรหัสผ่านครั้งแรกสำหรับผู้ใช้งาน ให้มีการจัดส่งรหัสผ่านให้แก่ผู้ใช้งานด้วยวิธีการที่รัดกุมและปลอดภัย และให้ผู้ใช้งานเปลี่ยนแปลงรหัสผ่านทันทีที่ได้รับรหัสดังกล่าว
    (3) กำหนดให้ผู้ใช้งานตั้งรหัสผ่านที่ซับซ้อนและยากต่อการคาดเดา โดยมีความยาวขั้นต่ำ 8 อักขระ (8 characters) และประกอบด้วยตัวเลขและตัวอักษร
    (4) กำหนดจำนวนครั้งที่ยอมให้ผู้ใช้งานใส่รหัสผ่านผิดพลาดติดต่อกัน ก่อนระงับการเข้าสู่ระบบชั่วคราวหรือวิธีการอื่น ๆ ที่เทียบเท่า
    (5) กำหนดให้ใช้รหัสผ่านที่ไม่ซ้ำกับรหัสที่เคยใช้งานอย่างน้อย 4 ครั้งล่าสุด หรือไม่ซ้ำกับรหัสผ่านที่เคยใช้งานในช่วง 1 ปีที่ผ่านมา
    (6) กำหนดการตั้งค่าปกติ/ค่าเริ่มต้น (default) ให้ไม่แสดงรหัสผ่านบนหน้าจอ ระหว่างที่ผู้ใช้งานใส่รหัสผ่าน
    (7) มีวิธีจัดเก็บข้อมูลรหัสผ่านที่ปลอดภัย รวมทั้งไม่จัดเก็บข้อมูลรหัสผ่านใน folder เดียวกันกับ folder ที่จัดเก็บข้อมูลของแอปพลิเคชัน
    (8) กำหนดให้ผู้ใช้งานรับผิดชอบการใช้งานบัญชีผู้ใช้งาน (user ID) และการรักษาความปลอดภัยสิ่งที่ใช้ยืนยันตัวตน (authenticator) รวมทั้งข้อมูลส่วนบุคคลที่อาจนำมาใช้เพื่อขอเปลี่ยนแปลงข้อมูลบัญชีผู้ใช้งาน เพื่อป้องกันการใช้งานจากผู้ไม่หวังดี</v>
      </c>
      <c r="O76" s="533" t="str" cm="1">
        <f t="array" aca="1" ref="O76" ca="1">IF(INDIRECT("'"&amp;B76&amp;"'!N"&amp;C76)=0,"N/A",INDIRECT("'"&amp;B76&amp;"'!N"&amp;C76))</f>
        <v>Maturity</v>
      </c>
      <c r="P76" s="527" t="str" cm="1">
        <f t="array" aca="1" ref="P76" ca="1">IF(INDIRECT("'"&amp;B76&amp;"'!L"&amp;C76)=0,"",INDIRECT("'"&amp;B76&amp;"'!L"&amp;C76))</f>
        <v/>
      </c>
      <c r="Q76" s="527" t="str">
        <f t="shared" ca="1" si="8"/>
        <v/>
      </c>
      <c r="R76" s="563" t="str">
        <f t="shared" ca="1" si="9"/>
        <v>Yes</v>
      </c>
      <c r="S76" s="528" t="s">
        <v>1590</v>
      </c>
      <c r="T76" s="529" t="str">
        <f t="shared" si="10"/>
        <v>X</v>
      </c>
      <c r="U76" s="529" t="str">
        <f t="shared" si="11"/>
        <v/>
      </c>
      <c r="V76" s="529" t="str">
        <f t="shared" si="12"/>
        <v>X</v>
      </c>
      <c r="W76" s="529" t="str">
        <f t="shared" si="13"/>
        <v/>
      </c>
      <c r="X76" s="529" t="str">
        <f t="shared" si="14"/>
        <v/>
      </c>
      <c r="Y76" s="529" t="str">
        <f t="shared" si="15"/>
        <v/>
      </c>
    </row>
    <row r="77" spans="1:25" ht="37.6" x14ac:dyDescent="0.2">
      <c r="A77" s="253" t="s">
        <v>624</v>
      </c>
      <c r="B77" s="253" t="s">
        <v>1589</v>
      </c>
      <c r="C77" s="253">
        <v>7</v>
      </c>
      <c r="D77" s="253" t="s">
        <v>1579</v>
      </c>
      <c r="E77" s="253">
        <v>2.5</v>
      </c>
      <c r="F77" s="253" t="s">
        <v>1574</v>
      </c>
      <c r="G77" s="215" t="str" cm="1">
        <f t="array" aca="1" ref="G77" ca="1">IF(INDIRECT("'"&amp;B77&amp;"'!B"&amp;C77)=0,"",INDIRECT("'"&amp;B77&amp;"'!B"&amp;C77))</f>
        <v>x</v>
      </c>
      <c r="H77" s="215" t="str" cm="1">
        <f t="array" aca="1" ref="H77" ca="1">IF(INDIRECT("'"&amp;B77&amp;"'!C"&amp;C77)=0,"",INDIRECT("'"&amp;B77&amp;"'!C"&amp;C77))</f>
        <v/>
      </c>
      <c r="I77" s="215" t="str" cm="1">
        <f t="array" aca="1" ref="I77" ca="1">IF(INDIRECT("'"&amp;B77&amp;"'!D"&amp;C77)=0,"",INDIRECT("'"&amp;B77&amp;"'!D"&amp;C77))</f>
        <v/>
      </c>
      <c r="J77" s="215" t="str" cm="1">
        <f t="array" aca="1" ref="J77" ca="1">IF(INDIRECT("'"&amp;B77&amp;"'!E"&amp;C77)=0,"",INDIRECT("'"&amp;B77&amp;"'!E"&amp;C77))</f>
        <v/>
      </c>
      <c r="K77" s="253" cm="1">
        <f t="array" aca="1" ref="K77" ca="1">IF(INDIRECT("'"&amp;B77&amp;"'!F"&amp;C77)=0,"N/A",INDIRECT("'"&amp;B77&amp;"'!F"&amp;C77))</f>
        <v>5.2</v>
      </c>
      <c r="L77" s="253" cm="1">
        <f t="array" aca="1" ref="L77" ca="1">IF(INDIRECT("'"&amp;B77&amp;"'!G"&amp;C77)=0,"N/A",INDIRECT("'"&amp;B77&amp;"'!G"&amp;C77))</f>
        <v>2</v>
      </c>
      <c r="M77" s="253" t="str" cm="1">
        <f t="array" aca="1" ref="M77" ca="1">IF(INDIRECT("'"&amp;B77&amp;"'!H"&amp;C77)=0,"N/A",INDIRECT("'"&amp;B77&amp;"'!H"&amp;C77))</f>
        <v>5.2 #2</v>
      </c>
      <c r="N77" s="221" t="str" cm="1">
        <f t="array" aca="1" ref="N77" ca="1">IF(INDIRECT("'"&amp;B77&amp;"'!I"&amp;C77)=0,"N/A",INDIRECT("'"&amp;B77&amp;"'!I"&amp;C77))</f>
        <v>มีระบบอัตโนมัติในการตรวจสอบและแจ้งเตือนพฤติกรรมการยืนยันตัวตนที่ผิดปกติหรือ ต้องสงสัย เช่น การเข้าสู่ระบบจากเครื่องคอมพิวเตอร์ต้นทางพร้อมกันหลายเครื่อง หรือการเข้าสู่ระบบจากเครื่องคอมพิวเตอร์ต้นทางที่มีความแตกต่างกันด้านสถานที่ทางภูมิศาสตร์ภายในระยะเวลาอันสั้น เป็นต้น</v>
      </c>
      <c r="O77" s="533" t="str" cm="1">
        <f t="array" aca="1" ref="O77" ca="1">IF(INDIRECT("'"&amp;B77&amp;"'!N"&amp;C77)=0,"N/A",INDIRECT("'"&amp;B77&amp;"'!N"&amp;C77))</f>
        <v>Yes/Partial/No</v>
      </c>
      <c r="P77" s="527" t="str" cm="1">
        <f t="array" aca="1" ref="P77" ca="1">IF(INDIRECT("'"&amp;B77&amp;"'!L"&amp;C77)=0,"",INDIRECT("'"&amp;B77&amp;"'!L"&amp;C77))</f>
        <v/>
      </c>
      <c r="Q77" s="527" t="str">
        <f t="shared" ca="1" si="8"/>
        <v/>
      </c>
      <c r="R77" s="563" t="str">
        <f t="shared" ca="1" si="9"/>
        <v>Yes</v>
      </c>
      <c r="S77" s="528" t="s">
        <v>1591</v>
      </c>
      <c r="T77" s="529" t="str">
        <f t="shared" si="10"/>
        <v/>
      </c>
      <c r="U77" s="529" t="str">
        <f t="shared" si="11"/>
        <v/>
      </c>
      <c r="V77" s="529" t="str">
        <f t="shared" si="12"/>
        <v/>
      </c>
      <c r="W77" s="529" t="str">
        <f t="shared" si="13"/>
        <v>X</v>
      </c>
      <c r="X77" s="529" t="str">
        <f t="shared" si="14"/>
        <v/>
      </c>
      <c r="Y77" s="529" t="str">
        <f t="shared" si="15"/>
        <v/>
      </c>
    </row>
    <row r="78" spans="1:25" ht="87.65" x14ac:dyDescent="0.2">
      <c r="A78" s="253" t="s">
        <v>628</v>
      </c>
      <c r="B78" s="253" t="s">
        <v>1589</v>
      </c>
      <c r="C78" s="253">
        <v>8</v>
      </c>
      <c r="D78" s="253" t="s">
        <v>1579</v>
      </c>
      <c r="E78" s="253">
        <v>2.5</v>
      </c>
      <c r="F78" s="253" t="s">
        <v>1571</v>
      </c>
      <c r="G78" s="215" t="str" cm="1">
        <f t="array" aca="1" ref="G78" ca="1">IF(INDIRECT("'"&amp;B78&amp;"'!B"&amp;C78)=0,"",INDIRECT("'"&amp;B78&amp;"'!B"&amp;C78))</f>
        <v>x</v>
      </c>
      <c r="H78" s="215" t="str" cm="1">
        <f t="array" aca="1" ref="H78" ca="1">IF(INDIRECT("'"&amp;B78&amp;"'!C"&amp;C78)=0,"",INDIRECT("'"&amp;B78&amp;"'!C"&amp;C78))</f>
        <v>x</v>
      </c>
      <c r="I78" s="215" t="str" cm="1">
        <f t="array" aca="1" ref="I78" ca="1">IF(INDIRECT("'"&amp;B78&amp;"'!D"&amp;C78)=0,"",INDIRECT("'"&amp;B78&amp;"'!D"&amp;C78))</f>
        <v>x</v>
      </c>
      <c r="J78" s="215" t="str" cm="1">
        <f t="array" aca="1" ref="J78" ca="1">IF(INDIRECT("'"&amp;B78&amp;"'!E"&amp;C78)=0,"",INDIRECT("'"&amp;B78&amp;"'!E"&amp;C78))</f>
        <v>x</v>
      </c>
      <c r="K78" s="253" cm="1">
        <f t="array" aca="1" ref="K78" ca="1">IF(INDIRECT("'"&amp;B78&amp;"'!F"&amp;C78)=0,"N/A",INDIRECT("'"&amp;B78&amp;"'!F"&amp;C78))</f>
        <v>5.3</v>
      </c>
      <c r="L78" s="253" t="str" cm="1">
        <f t="array" aca="1" ref="L78" ca="1">IF(INDIRECT("'"&amp;B78&amp;"'!G"&amp;C78)=0,"N/A",INDIRECT("'"&amp;B78&amp;"'!G"&amp;C78))</f>
        <v>N/A</v>
      </c>
      <c r="M78" s="253" cm="1">
        <f t="array" aca="1" ref="M78" ca="1">IF(INDIRECT("'"&amp;B78&amp;"'!H"&amp;C78)=0,"N/A",INDIRECT("'"&amp;B78&amp;"'!H"&amp;C78))</f>
        <v>5.3</v>
      </c>
      <c r="N78" s="221" t="str" cm="1">
        <f t="array" aca="1" ref="N78" ca="1">IF(INDIRECT("'"&amp;B78&amp;"'!I"&amp;C78)=0,"N/A",INDIRECT("'"&amp;B78&amp;"'!I"&amp;C78))</f>
        <v>มีการกำหนดมาตรการควบคุม จำกัด และติดตามการใช้งานบัญชีผู้มีสิทธิสูง (privileged user management) ดังนี้
    (1) มีการพิสูจน์ตัวตนหลายปัจจัย (multi-factor authentication : MFA) เมื่อเข้าใช้งานและเปลี่ยนรหัสผ่านสำหรับระบบปฏิบัติการและระบบฐานข้อมูลที่เกี่ยวข้องกับระบบ IT ที่มีนัยสำคัญ
    (2) กรณีผู้ประกอบธุรกิจมีข้อจำกัดสำหรับการพิสูจน์ตัวตนหลายปัจจัย (multi-factor authentication : MFA) สามารถใช้วิธีการอื่นใดที่เทียบเท่าทดแทน และจัดให้มีการประเมินความเสี่ยงและพิจารณาแนวทางควบคุมความเสี่ยงก่อนดำเนินการเพื่อขออนุมัติยกเว้น (exception)</v>
      </c>
      <c r="O78" s="533" t="str" cm="1">
        <f t="array" aca="1" ref="O78" ca="1">IF(INDIRECT("'"&amp;B78&amp;"'!N"&amp;C78)=0,"N/A",INDIRECT("'"&amp;B78&amp;"'!N"&amp;C78))</f>
        <v>Yes/Partial/No</v>
      </c>
      <c r="P78" s="527" t="str" cm="1">
        <f t="array" aca="1" ref="P78" ca="1">IF(INDIRECT("'"&amp;B78&amp;"'!L"&amp;C78)=0,"",INDIRECT("'"&amp;B78&amp;"'!L"&amp;C78))</f>
        <v/>
      </c>
      <c r="Q78" s="527" t="str">
        <f t="shared" ca="1" si="8"/>
        <v/>
      </c>
      <c r="R78" s="563" t="str">
        <f t="shared" ca="1" si="9"/>
        <v>Yes</v>
      </c>
      <c r="S78" s="528" t="s">
        <v>1590</v>
      </c>
      <c r="T78" s="529" t="str">
        <f t="shared" si="10"/>
        <v>X</v>
      </c>
      <c r="U78" s="529" t="str">
        <f t="shared" si="11"/>
        <v/>
      </c>
      <c r="V78" s="529" t="str">
        <f t="shared" si="12"/>
        <v>X</v>
      </c>
      <c r="W78" s="529" t="str">
        <f t="shared" si="13"/>
        <v/>
      </c>
      <c r="X78" s="529" t="str">
        <f t="shared" si="14"/>
        <v/>
      </c>
      <c r="Y78" s="529" t="str">
        <f t="shared" si="15"/>
        <v/>
      </c>
    </row>
    <row r="79" spans="1:25" ht="162.80000000000001" x14ac:dyDescent="0.2">
      <c r="A79" s="253" t="s">
        <v>631</v>
      </c>
      <c r="B79" s="253" t="s">
        <v>1589</v>
      </c>
      <c r="C79" s="253">
        <v>9</v>
      </c>
      <c r="D79" s="253" t="s">
        <v>1579</v>
      </c>
      <c r="E79" s="253">
        <v>2.5</v>
      </c>
      <c r="F79" s="253" t="s">
        <v>1571</v>
      </c>
      <c r="G79" s="215" t="str" cm="1">
        <f t="array" aca="1" ref="G79" ca="1">IF(INDIRECT("'"&amp;B79&amp;"'!B"&amp;C79)=0,"",INDIRECT("'"&amp;B79&amp;"'!B"&amp;C79))</f>
        <v>x</v>
      </c>
      <c r="H79" s="215" t="str" cm="1">
        <f t="array" aca="1" ref="H79" ca="1">IF(INDIRECT("'"&amp;B79&amp;"'!C"&amp;C79)=0,"",INDIRECT("'"&amp;B79&amp;"'!C"&amp;C79))</f>
        <v>x</v>
      </c>
      <c r="I79" s="215" t="str" cm="1">
        <f t="array" aca="1" ref="I79" ca="1">IF(INDIRECT("'"&amp;B79&amp;"'!D"&amp;C79)=0,"",INDIRECT("'"&amp;B79&amp;"'!D"&amp;C79))</f>
        <v>x</v>
      </c>
      <c r="J79" s="215" t="str" cm="1">
        <f t="array" aca="1" ref="J79" ca="1">IF(INDIRECT("'"&amp;B79&amp;"'!E"&amp;C79)=0,"",INDIRECT("'"&amp;B79&amp;"'!E"&amp;C79))</f>
        <v>x</v>
      </c>
      <c r="K79" s="253" t="str" cm="1">
        <f t="array" aca="1" ref="K79" ca="1">IF(INDIRECT("'"&amp;B79&amp;"'!F"&amp;C79)=0,"N/A",INDIRECT("'"&amp;B79&amp;"'!F"&amp;C79))</f>
        <v>5.3.3-5.3.2</v>
      </c>
      <c r="L79" s="253" cm="1">
        <f t="array" aca="1" ref="L79" ca="1">IF(INDIRECT("'"&amp;B79&amp;"'!G"&amp;C79)=0,"N/A",INDIRECT("'"&amp;B79&amp;"'!G"&amp;C79))</f>
        <v>1</v>
      </c>
      <c r="M79" s="253" t="str" cm="1">
        <f t="array" aca="1" ref="M79" ca="1">IF(INDIRECT("'"&amp;B79&amp;"'!H"&amp;C79)=0,"N/A",INDIRECT("'"&amp;B79&amp;"'!H"&amp;C79))</f>
        <v>5.3.3-5.3.2 #1</v>
      </c>
      <c r="N79" s="221" t="str" cm="1">
        <f t="array" aca="1" ref="N79" ca="1">IF(INDIRECT("'"&amp;B79&amp;"'!I"&amp;C79)=0,"N/A",INDIRECT("'"&amp;B79&amp;"'!I"&amp;C79))</f>
        <v>มีการควบคุมและติดตามตรวจสอบการใช้งานบัญชีผู้มีสิทธิสูง (privileged user) อย่างเข้มงวด ดังนี้  
    (1) ควบคุมดูแลการให้สิทธิโดยจำกัดตามบทบาทหน้าที่ และความจำเป็นในการใช้งาน
    (2) จำกัดจำนวนบัญชี privileged user ให้มีจำนวนน้อยที่สุดหรือเท่าที่จำเป็น
    (3) มีกระบวนการขอใช้งานบัญชี privileged user และการอนุมัติโดยผู้มีอำนาจ 
    (4) ทบทวนบัญชีผู้ใช้งาน privileged user อย่างสม่ำเสมออย่างน้อยปีละ 1 ครั้ง
    (5) กำหนดนโยบายหรือมาตรการยืนยันตัวตนของบัญชี privileged user ที่เข้มงวดกว่าบัญชีผู้ใช้งานทั่วไป 
    (6) จัดเก็บบันทึกการเข้าถึง (access log) และบันทึกการดำเนินงาน (activity log) ของบัญชี privileged user อย่างเหมาะสม
    (7) สอบทานบันทึกการเข้าถึง (access log) และบันทึกการดำเนินงาน (activity log) ของบัญชี privileged user หลังเสร็จสิ้นการใช้งาน หรือสอบทานอย่างสม่ำเสมอตามรอบระยะเวลาที่เหมาะสมกับความเสี่ยง โดยควรสอบทานอย่างน้อยปีละ 1 ครั้ง
    (8) มีเครื่องมือหรือกระบวนการป้องกันการเข้าใช้งานบัญชี privileged user และยกระดับสิทธิการใช้งานโดยผู้ที่ไม่ได้รับอนุญาต</v>
      </c>
      <c r="O79" s="533" t="str" cm="1">
        <f t="array" aca="1" ref="O79" ca="1">IF(INDIRECT("'"&amp;B79&amp;"'!N"&amp;C79)=0,"N/A",INDIRECT("'"&amp;B79&amp;"'!N"&amp;C79))</f>
        <v>Yes/Partial/No</v>
      </c>
      <c r="P79" s="527" t="str" cm="1">
        <f t="array" aca="1" ref="P79" ca="1">IF(INDIRECT("'"&amp;B79&amp;"'!L"&amp;C79)=0,"",INDIRECT("'"&amp;B79&amp;"'!L"&amp;C79))</f>
        <v/>
      </c>
      <c r="Q79" s="527" t="str">
        <f t="shared" ca="1" si="8"/>
        <v/>
      </c>
      <c r="R79" s="563" t="str">
        <f t="shared" ca="1" si="9"/>
        <v>Yes</v>
      </c>
      <c r="S79" s="528" t="s">
        <v>1580</v>
      </c>
      <c r="T79" s="529" t="str">
        <f t="shared" si="10"/>
        <v/>
      </c>
      <c r="U79" s="529" t="str">
        <f t="shared" si="11"/>
        <v/>
      </c>
      <c r="V79" s="529" t="str">
        <f t="shared" si="12"/>
        <v>X</v>
      </c>
      <c r="W79" s="529" t="str">
        <f t="shared" si="13"/>
        <v/>
      </c>
      <c r="X79" s="529" t="str">
        <f t="shared" si="14"/>
        <v/>
      </c>
      <c r="Y79" s="529" t="str">
        <f t="shared" si="15"/>
        <v/>
      </c>
    </row>
    <row r="80" spans="1:25" ht="162.80000000000001" x14ac:dyDescent="0.2">
      <c r="A80" s="253" t="s">
        <v>637</v>
      </c>
      <c r="B80" s="253" t="s">
        <v>1592</v>
      </c>
      <c r="C80" s="253">
        <v>4</v>
      </c>
      <c r="D80" s="253" t="s">
        <v>1579</v>
      </c>
      <c r="E80" s="253">
        <v>2.6</v>
      </c>
      <c r="F80" s="253" t="s">
        <v>1571</v>
      </c>
      <c r="G80" s="215" t="str" cm="1">
        <f t="array" aca="1" ref="G80" ca="1">IF(INDIRECT("'"&amp;B80&amp;"'!B"&amp;C80)=0,"",INDIRECT("'"&amp;B80&amp;"'!B"&amp;C80))</f>
        <v>x</v>
      </c>
      <c r="H80" s="215" t="str" cm="1">
        <f t="array" aca="1" ref="H80" ca="1">IF(INDIRECT("'"&amp;B80&amp;"'!C"&amp;C80)=0,"",INDIRECT("'"&amp;B80&amp;"'!C"&amp;C80))</f>
        <v>x</v>
      </c>
      <c r="I80" s="215" t="str" cm="1">
        <f t="array" aca="1" ref="I80" ca="1">IF(INDIRECT("'"&amp;B80&amp;"'!D"&amp;C80)=0,"",INDIRECT("'"&amp;B80&amp;"'!D"&amp;C80))</f>
        <v>x</v>
      </c>
      <c r="J80" s="215" t="str" cm="1">
        <f t="array" aca="1" ref="J80" ca="1">IF(INDIRECT("'"&amp;B80&amp;"'!E"&amp;C80)=0,"",INDIRECT("'"&amp;B80&amp;"'!E"&amp;C80))</f>
        <v/>
      </c>
      <c r="K80" s="253" cm="1">
        <f t="array" aca="1" ref="K80" ca="1">IF(INDIRECT("'"&amp;B80&amp;"'!F"&amp;C80)=0,"N/A",INDIRECT("'"&amp;B80&amp;"'!F"&amp;C80))</f>
        <v>6.1</v>
      </c>
      <c r="L80" s="253" cm="1">
        <f t="array" aca="1" ref="L80" ca="1">IF(INDIRECT("'"&amp;B80&amp;"'!G"&amp;C80)=0,"N/A",INDIRECT("'"&amp;B80&amp;"'!G"&amp;C80))</f>
        <v>1</v>
      </c>
      <c r="M80" s="253" t="str" cm="1">
        <f t="array" aca="1" ref="M80" ca="1">IF(INDIRECT("'"&amp;B80&amp;"'!H"&amp;C80)=0,"N/A",INDIRECT("'"&amp;B80&amp;"'!H"&amp;C80))</f>
        <v>6.1 #1</v>
      </c>
      <c r="N80" s="221" t="str" cm="1">
        <f t="array" aca="1" ref="N80" ca="1">IF(INDIRECT("'"&amp;B80&amp;"'!I"&amp;C80)=0,"N/A",INDIRECT("'"&amp;B80&amp;"'!I"&amp;C80))</f>
        <v xml:space="preserve">1. มีการจัดทำ อนุมัติ และสื่อสารนโยบายและมาตรการการบริหารกุญแจเข้ารหัส ที่มีเนื้อหาที่คำนึงถึงชนิด มาตรฐานวิธีการเข้ารหัสข้อมูล (cryptographic algorithm) ให้เป็นไปตามมาตรฐานสากล และมีความมั่นคงปลอดภัยเหมาะสมกับระดับความสำคัญของข้อมูล รวมทั้งกำหนดผู้รับผิดชอบในการดำเนินนโยบายและบริหารจัดการกุญแจเพื่อการเข้ารหัสข้อมูล (key management)
2. มีการวิเคราะห์และคัดเลือกวิธีการเข้ารหัสที่เหมาะสมสำหรับข้อมูล
แต่ละประเภทตามมาตรการเข้ารหัสของข้อมูลแต่ละระดับชั้น เช่น
    (1) เว็บไซต์: การใช้โปรโตคอล TLS ในการเข้ารหัสมีความปลอดภัยมากกว่าโปรโตคอล SSL
    (2) การส่งข้อมูลผ่านเครือข่าย: การใช้โปรโตคอล CFI, SCP, SFTP, หรือ  FTPS ในการส่งข้อมูลมีความปลอดภัยมากกว่าโปรโตคอล FTP
    (3) การเชื่อมต่อโดย Remote Command: การใช้โปรโตคอล SSH มีความปลอดภัยมากกว่าโปรโตคอล Telnet 
    (4) การเชื่อมต่อเพื่อบริหารจัดการระบบจากระยะไกล: การเชื่อมต่อผ่านช่องทางที่ปลอดภัยอย่าง SSL VPN, IPSec VPN หรือเครื่องมือที่มีการใช้ช่องทางที่ปลอดภัย </v>
      </c>
      <c r="O80" s="533" t="str" cm="1">
        <f t="array" aca="1" ref="O80" ca="1">IF(INDIRECT("'"&amp;B80&amp;"'!N"&amp;C80)=0,"N/A",INDIRECT("'"&amp;B80&amp;"'!N"&amp;C80))</f>
        <v>Yes/Partial/No</v>
      </c>
      <c r="P80" s="527" t="str" cm="1">
        <f t="array" aca="1" ref="P80" ca="1">IF(INDIRECT("'"&amp;B80&amp;"'!L"&amp;C80)=0,"",INDIRECT("'"&amp;B80&amp;"'!L"&amp;C80))</f>
        <v/>
      </c>
      <c r="Q80" s="527" t="str">
        <f t="shared" ca="1" si="8"/>
        <v/>
      </c>
      <c r="R80" s="563" t="str">
        <f t="shared" ca="1" si="9"/>
        <v>Yes</v>
      </c>
      <c r="S80" s="528" t="s">
        <v>1572</v>
      </c>
      <c r="T80" s="529" t="str">
        <f t="shared" si="10"/>
        <v>X</v>
      </c>
      <c r="U80" s="529" t="str">
        <f t="shared" si="11"/>
        <v/>
      </c>
      <c r="V80" s="529" t="str">
        <f t="shared" si="12"/>
        <v/>
      </c>
      <c r="W80" s="529" t="str">
        <f t="shared" si="13"/>
        <v/>
      </c>
      <c r="X80" s="529" t="str">
        <f t="shared" si="14"/>
        <v/>
      </c>
      <c r="Y80" s="529" t="str">
        <f t="shared" si="15"/>
        <v/>
      </c>
    </row>
    <row r="81" spans="1:25" ht="37.6" x14ac:dyDescent="0.2">
      <c r="A81" s="253" t="s">
        <v>641</v>
      </c>
      <c r="B81" s="253" t="s">
        <v>1592</v>
      </c>
      <c r="C81" s="253">
        <v>5</v>
      </c>
      <c r="D81" s="253" t="s">
        <v>1579</v>
      </c>
      <c r="E81" s="253">
        <v>2.6</v>
      </c>
      <c r="F81" s="253" t="s">
        <v>1571</v>
      </c>
      <c r="G81" s="215" t="str" cm="1">
        <f t="array" aca="1" ref="G81" ca="1">IF(INDIRECT("'"&amp;B81&amp;"'!B"&amp;C81)=0,"",INDIRECT("'"&amp;B81&amp;"'!B"&amp;C81))</f>
        <v>x</v>
      </c>
      <c r="H81" s="215" t="str" cm="1">
        <f t="array" aca="1" ref="H81" ca="1">IF(INDIRECT("'"&amp;B81&amp;"'!C"&amp;C81)=0,"",INDIRECT("'"&amp;B81&amp;"'!C"&amp;C81))</f>
        <v>x</v>
      </c>
      <c r="I81" s="215" t="str" cm="1">
        <f t="array" aca="1" ref="I81" ca="1">IF(INDIRECT("'"&amp;B81&amp;"'!D"&amp;C81)=0,"",INDIRECT("'"&amp;B81&amp;"'!D"&amp;C81))</f>
        <v>x</v>
      </c>
      <c r="J81" s="215" t="str" cm="1">
        <f t="array" aca="1" ref="J81" ca="1">IF(INDIRECT("'"&amp;B81&amp;"'!E"&amp;C81)=0,"",INDIRECT("'"&amp;B81&amp;"'!E"&amp;C81))</f>
        <v/>
      </c>
      <c r="K81" s="253" cm="1">
        <f t="array" aca="1" ref="K81" ca="1">IF(INDIRECT("'"&amp;B81&amp;"'!F"&amp;C81)=0,"N/A",INDIRECT("'"&amp;B81&amp;"'!F"&amp;C81))</f>
        <v>6.1</v>
      </c>
      <c r="L81" s="253" cm="1">
        <f t="array" aca="1" ref="L81" ca="1">IF(INDIRECT("'"&amp;B81&amp;"'!G"&amp;C81)=0,"N/A",INDIRECT("'"&amp;B81&amp;"'!G"&amp;C81))</f>
        <v>1</v>
      </c>
      <c r="M81" s="253" t="str" cm="1">
        <f t="array" aca="1" ref="M81" ca="1">IF(INDIRECT("'"&amp;B81&amp;"'!H"&amp;C81)=0,"N/A",INDIRECT("'"&amp;B81&amp;"'!H"&amp;C81))</f>
        <v>6.1 #1</v>
      </c>
      <c r="N81" s="221" t="str" cm="1">
        <f t="array" aca="1" ref="N81" ca="1">IF(INDIRECT("'"&amp;B81&amp;"'!I"&amp;C81)=0,"N/A",INDIRECT("'"&amp;B81&amp;"'!I"&amp;C81))</f>
        <v xml:space="preserve">มีการทบทวนมาตรฐานวิธีเข้ารหัสข้อมูล (cryptographic algorithm) เพื่อให้มั่นใจว่าวิธีการเข้ารหัสที่ใช้งานยังคงมีความปลอดภัย 
</v>
      </c>
      <c r="O81" s="533" t="str" cm="1">
        <f t="array" aca="1" ref="O81" ca="1">IF(INDIRECT("'"&amp;B81&amp;"'!N"&amp;C81)=0,"N/A",INDIRECT("'"&amp;B81&amp;"'!N"&amp;C81))</f>
        <v>Yes/Partial/No</v>
      </c>
      <c r="P81" s="527" t="str" cm="1">
        <f t="array" aca="1" ref="P81" ca="1">IF(INDIRECT("'"&amp;B81&amp;"'!L"&amp;C81)=0,"",INDIRECT("'"&amp;B81&amp;"'!L"&amp;C81))</f>
        <v/>
      </c>
      <c r="Q81" s="527" t="str">
        <f t="shared" ca="1" si="8"/>
        <v/>
      </c>
      <c r="R81" s="563" t="str">
        <f t="shared" ca="1" si="9"/>
        <v>Yes</v>
      </c>
      <c r="S81" s="528" t="s">
        <v>1572</v>
      </c>
      <c r="T81" s="529" t="str">
        <f t="shared" si="10"/>
        <v>X</v>
      </c>
      <c r="U81" s="529" t="str">
        <f t="shared" si="11"/>
        <v/>
      </c>
      <c r="V81" s="529" t="str">
        <f t="shared" si="12"/>
        <v/>
      </c>
      <c r="W81" s="529" t="str">
        <f t="shared" si="13"/>
        <v/>
      </c>
      <c r="X81" s="529" t="str">
        <f t="shared" si="14"/>
        <v/>
      </c>
      <c r="Y81" s="529" t="str">
        <f t="shared" si="15"/>
        <v/>
      </c>
    </row>
    <row r="82" spans="1:25" ht="125.25" x14ac:dyDescent="0.2">
      <c r="A82" s="253" t="s">
        <v>644</v>
      </c>
      <c r="B82" s="253" t="s">
        <v>1592</v>
      </c>
      <c r="C82" s="253">
        <v>6</v>
      </c>
      <c r="D82" s="253" t="s">
        <v>1579</v>
      </c>
      <c r="E82" s="253">
        <v>2.6</v>
      </c>
      <c r="F82" s="253" t="s">
        <v>1571</v>
      </c>
      <c r="G82" s="215" t="str" cm="1">
        <f t="array" aca="1" ref="G82" ca="1">IF(INDIRECT("'"&amp;B82&amp;"'!B"&amp;C82)=0,"",INDIRECT("'"&amp;B82&amp;"'!B"&amp;C82))</f>
        <v>x</v>
      </c>
      <c r="H82" s="215" t="str" cm="1">
        <f t="array" aca="1" ref="H82" ca="1">IF(INDIRECT("'"&amp;B82&amp;"'!C"&amp;C82)=0,"",INDIRECT("'"&amp;B82&amp;"'!C"&amp;C82))</f>
        <v>x</v>
      </c>
      <c r="I82" s="215" t="str" cm="1">
        <f t="array" aca="1" ref="I82" ca="1">IF(INDIRECT("'"&amp;B82&amp;"'!D"&amp;C82)=0,"",INDIRECT("'"&amp;B82&amp;"'!D"&amp;C82))</f>
        <v>x</v>
      </c>
      <c r="J82" s="215" t="str" cm="1">
        <f t="array" aca="1" ref="J82" ca="1">IF(INDIRECT("'"&amp;B82&amp;"'!E"&amp;C82)=0,"",INDIRECT("'"&amp;B82&amp;"'!E"&amp;C82))</f>
        <v/>
      </c>
      <c r="K82" s="253" cm="1">
        <f t="array" aca="1" ref="K82" ca="1">IF(INDIRECT("'"&amp;B82&amp;"'!F"&amp;C82)=0,"N/A",INDIRECT("'"&amp;B82&amp;"'!F"&amp;C82))</f>
        <v>6.2</v>
      </c>
      <c r="L82" s="253" cm="1">
        <f t="array" aca="1" ref="L82" ca="1">IF(INDIRECT("'"&amp;B82&amp;"'!G"&amp;C82)=0,"N/A",INDIRECT("'"&amp;B82&amp;"'!G"&amp;C82))</f>
        <v>1</v>
      </c>
      <c r="M82" s="253" t="str" cm="1">
        <f t="array" aca="1" ref="M82" ca="1">IF(INDIRECT("'"&amp;B82&amp;"'!H"&amp;C82)=0,"N/A",INDIRECT("'"&amp;B82&amp;"'!H"&amp;C82))</f>
        <v>6.2 #1</v>
      </c>
      <c r="N82" s="221" t="str" cm="1">
        <f t="array" aca="1" ref="N82" ca="1">IF(INDIRECT("'"&amp;B82&amp;"'!I"&amp;C82)=0,"N/A",INDIRECT("'"&amp;B82&amp;"'!I"&amp;C82))</f>
        <v xml:space="preserve">มีการสร้างและติดตั้งกุญแจเข้ารหัสที่มีความปลอดภัย โดยครอบคลุมอย่างน้อย ดังนี้
    (1) การเลือกใช้ผู้ให้บริการออกใบรับรอง (certification authority) ที่น่าเชื่อถือ 
    (2) การทำลายข้อมูลที่ใช้ในกระบวนการเข้ารหัส หรือการรักษาความปลอดภัยของคอมพิวเตอร์ที่ใช้สร้างกุญแจ
    (3) กำหนดสิทธิการเข้าถึงกุญแจเข้ารหัสและระบบจัดการกุญแจเข้ารหัสให้สามารถเข้าถึงได้โดยผู้ที่ได้รับอนุญาตเท่านั้น
    (4) กำหนดความยาวของกุญแจเข้ารหัสที่เพียงพอในการป้องกันการถูกถอดรหัส (decrypt) โดยผู้ไม่หวังดี เช่น การโจมตีแบบ brute force เป็นต้น
    (5) การแลกเปลี่ยนกุญแจเข้ารหัส (key exchange) ผ่านกระบวนการและช่องทางที่ปลอดภัย 
    (6) การกำหนดไม่ให้ใช้กุญแจเข้ารหัสข้อมูลเดียวกันกับหลายระบบงาน
</v>
      </c>
      <c r="O82" s="533" t="str" cm="1">
        <f t="array" aca="1" ref="O82" ca="1">IF(INDIRECT("'"&amp;B82&amp;"'!N"&amp;C82)=0,"N/A",INDIRECT("'"&amp;B82&amp;"'!N"&amp;C82))</f>
        <v>Yes/Partial/No</v>
      </c>
      <c r="P82" s="527" t="str" cm="1">
        <f t="array" aca="1" ref="P82" ca="1">IF(INDIRECT("'"&amp;B82&amp;"'!L"&amp;C82)=0,"",INDIRECT("'"&amp;B82&amp;"'!L"&amp;C82))</f>
        <v/>
      </c>
      <c r="Q82" s="527" t="str">
        <f t="shared" ca="1" si="8"/>
        <v/>
      </c>
      <c r="R82" s="563" t="str">
        <f t="shared" ca="1" si="9"/>
        <v>Yes</v>
      </c>
      <c r="S82" s="528" t="s">
        <v>1580</v>
      </c>
      <c r="T82" s="529" t="str">
        <f t="shared" si="10"/>
        <v/>
      </c>
      <c r="U82" s="529" t="str">
        <f t="shared" si="11"/>
        <v/>
      </c>
      <c r="V82" s="529" t="str">
        <f t="shared" si="12"/>
        <v>X</v>
      </c>
      <c r="W82" s="529" t="str">
        <f t="shared" si="13"/>
        <v/>
      </c>
      <c r="X82" s="529" t="str">
        <f t="shared" si="14"/>
        <v/>
      </c>
      <c r="Y82" s="529" t="str">
        <f t="shared" si="15"/>
        <v/>
      </c>
    </row>
    <row r="83" spans="1:25" ht="100.2" x14ac:dyDescent="0.2">
      <c r="A83" s="253" t="s">
        <v>648</v>
      </c>
      <c r="B83" s="253" t="s">
        <v>1592</v>
      </c>
      <c r="C83" s="253">
        <v>7</v>
      </c>
      <c r="D83" s="253" t="s">
        <v>1579</v>
      </c>
      <c r="E83" s="253">
        <v>2.6</v>
      </c>
      <c r="F83" s="253" t="s">
        <v>1571</v>
      </c>
      <c r="G83" s="215" t="str" cm="1">
        <f t="array" aca="1" ref="G83" ca="1">IF(INDIRECT("'"&amp;B83&amp;"'!B"&amp;C83)=0,"",INDIRECT("'"&amp;B83&amp;"'!B"&amp;C83))</f>
        <v>x</v>
      </c>
      <c r="H83" s="215" t="str" cm="1">
        <f t="array" aca="1" ref="H83" ca="1">IF(INDIRECT("'"&amp;B83&amp;"'!C"&amp;C83)=0,"",INDIRECT("'"&amp;B83&amp;"'!C"&amp;C83))</f>
        <v>x</v>
      </c>
      <c r="I83" s="215" t="str" cm="1">
        <f t="array" aca="1" ref="I83" ca="1">IF(INDIRECT("'"&amp;B83&amp;"'!D"&amp;C83)=0,"",INDIRECT("'"&amp;B83&amp;"'!D"&amp;C83))</f>
        <v>x</v>
      </c>
      <c r="J83" s="215" t="str" cm="1">
        <f t="array" aca="1" ref="J83" ca="1">IF(INDIRECT("'"&amp;B83&amp;"'!E"&amp;C83)=0,"",INDIRECT("'"&amp;B83&amp;"'!E"&amp;C83))</f>
        <v/>
      </c>
      <c r="K83" s="253" cm="1">
        <f t="array" aca="1" ref="K83" ca="1">IF(INDIRECT("'"&amp;B83&amp;"'!F"&amp;C83)=0,"N/A",INDIRECT("'"&amp;B83&amp;"'!F"&amp;C83))</f>
        <v>6.2</v>
      </c>
      <c r="L83" s="253" cm="1">
        <f t="array" aca="1" ref="L83" ca="1">IF(INDIRECT("'"&amp;B83&amp;"'!G"&amp;C83)=0,"N/A",INDIRECT("'"&amp;B83&amp;"'!G"&amp;C83))</f>
        <v>2</v>
      </c>
      <c r="M83" s="253" t="str" cm="1">
        <f t="array" aca="1" ref="M83" ca="1">IF(INDIRECT("'"&amp;B83&amp;"'!H"&amp;C83)=0,"N/A",INDIRECT("'"&amp;B83&amp;"'!H"&amp;C83))</f>
        <v>6.2 #2</v>
      </c>
      <c r="N83" s="221" t="str" cm="1">
        <f t="array" aca="1" ref="N83" ca="1">IF(INDIRECT("'"&amp;B83&amp;"'!I"&amp;C83)=0,"N/A",INDIRECT("'"&amp;B83&amp;"'!I"&amp;C83))</f>
        <v xml:space="preserve">มีการจัดเก็บและสำรองกุญแจเข้ารหัสให้อยู่ในสภาพแวดล้อมที่ปลอดภัย และมีการกำหนดการเข้าถึงทั้งทางกายภาพ (physical) และสิทธิในระบบ (logical) อย่างเหมาะสม โดยผู้ประกอบธุรกิจควรดำเนินการอย่างน้อย ดังนี้ 
    (1) มีการรักษาความปลอดภัยในการจัดเก็บกุญแจเข้ารหัสทั้งด้าน physical และ logical เช่น การใช้อุปกรณ์ hardware security module (HSM) หรืออุปกรณ์ที่ทำหน้าที่ในลักษณะเดียวกัน เป็นต้น 
    (2) มีการสำรองข้อมูลกุญแจเข้ารหัส โดยวิธีการเก็บรักษาข้อมูลกุญแจเข้ารหัสชุดสำรองต้องมีการรักษาความปลอดภัย 
ในระดับเดียวกับกุญแจเข้ารหัสชุดหลัก </v>
      </c>
      <c r="O83" s="533" t="str" cm="1">
        <f t="array" aca="1" ref="O83" ca="1">IF(INDIRECT("'"&amp;B83&amp;"'!N"&amp;C83)=0,"N/A",INDIRECT("'"&amp;B83&amp;"'!N"&amp;C83))</f>
        <v>Yes/Partial/No</v>
      </c>
      <c r="P83" s="527" t="str" cm="1">
        <f t="array" aca="1" ref="P83" ca="1">IF(INDIRECT("'"&amp;B83&amp;"'!L"&amp;C83)=0,"",INDIRECT("'"&amp;B83&amp;"'!L"&amp;C83))</f>
        <v/>
      </c>
      <c r="Q83" s="527" t="str">
        <f t="shared" ca="1" si="8"/>
        <v/>
      </c>
      <c r="R83" s="563" t="str">
        <f t="shared" ca="1" si="9"/>
        <v>Yes</v>
      </c>
      <c r="S83" s="528" t="s">
        <v>1580</v>
      </c>
      <c r="T83" s="529" t="str">
        <f t="shared" si="10"/>
        <v/>
      </c>
      <c r="U83" s="529" t="str">
        <f t="shared" si="11"/>
        <v/>
      </c>
      <c r="V83" s="529" t="str">
        <f t="shared" si="12"/>
        <v>X</v>
      </c>
      <c r="W83" s="529" t="str">
        <f t="shared" si="13"/>
        <v/>
      </c>
      <c r="X83" s="529" t="str">
        <f t="shared" si="14"/>
        <v/>
      </c>
      <c r="Y83" s="529" t="str">
        <f t="shared" si="15"/>
        <v/>
      </c>
    </row>
    <row r="84" spans="1:25" ht="100.2" x14ac:dyDescent="0.2">
      <c r="A84" s="253" t="s">
        <v>652</v>
      </c>
      <c r="B84" s="253" t="s">
        <v>1592</v>
      </c>
      <c r="C84" s="253">
        <v>8</v>
      </c>
      <c r="D84" s="253" t="s">
        <v>1579</v>
      </c>
      <c r="E84" s="253">
        <v>2.6</v>
      </c>
      <c r="F84" s="253" t="s">
        <v>1571</v>
      </c>
      <c r="G84" s="215" t="str" cm="1">
        <f t="array" aca="1" ref="G84" ca="1">IF(INDIRECT("'"&amp;B84&amp;"'!B"&amp;C84)=0,"",INDIRECT("'"&amp;B84&amp;"'!B"&amp;C84))</f>
        <v>x</v>
      </c>
      <c r="H84" s="215" t="str" cm="1">
        <f t="array" aca="1" ref="H84" ca="1">IF(INDIRECT("'"&amp;B84&amp;"'!C"&amp;C84)=0,"",INDIRECT("'"&amp;B84&amp;"'!C"&amp;C84))</f>
        <v>x</v>
      </c>
      <c r="I84" s="215" t="str" cm="1">
        <f t="array" aca="1" ref="I84" ca="1">IF(INDIRECT("'"&amp;B84&amp;"'!D"&amp;C84)=0,"",INDIRECT("'"&amp;B84&amp;"'!D"&amp;C84))</f>
        <v>x</v>
      </c>
      <c r="J84" s="215" t="str" cm="1">
        <f t="array" aca="1" ref="J84" ca="1">IF(INDIRECT("'"&amp;B84&amp;"'!E"&amp;C84)=0,"",INDIRECT("'"&amp;B84&amp;"'!E"&amp;C84))</f>
        <v/>
      </c>
      <c r="K84" s="253" cm="1">
        <f t="array" aca="1" ref="K84" ca="1">IF(INDIRECT("'"&amp;B84&amp;"'!F"&amp;C84)=0,"N/A",INDIRECT("'"&amp;B84&amp;"'!F"&amp;C84))</f>
        <v>6.2</v>
      </c>
      <c r="L84" s="253" cm="1">
        <f t="array" aca="1" ref="L84" ca="1">IF(INDIRECT("'"&amp;B84&amp;"'!G"&amp;C84)=0,"N/A",INDIRECT("'"&amp;B84&amp;"'!G"&amp;C84))</f>
        <v>3</v>
      </c>
      <c r="M84" s="253" t="str" cm="1">
        <f t="array" aca="1" ref="M84" ca="1">IF(INDIRECT("'"&amp;B84&amp;"'!H"&amp;C84)=0,"N/A",INDIRECT("'"&amp;B84&amp;"'!H"&amp;C84))</f>
        <v>6.2 #3</v>
      </c>
      <c r="N84" s="221" t="str" cm="1">
        <f t="array" aca="1" ref="N84" ca="1">IF(INDIRECT("'"&amp;B84&amp;"'!I"&amp;C84)=0,"N/A",INDIRECT("'"&amp;B84&amp;"'!I"&amp;C84))</f>
        <v xml:space="preserve">มีการกำหนดเกณฑ์และแนวทางในการเปลี่ยนและเพิกถอนกุญแจเข้ารหัส โดยครอบคลุมถึงเนื้อหาขั้นต่ำ ดังนี้
    (1) เกณฑ์และแนวทางในการเปลี่ยนและเพิกถอนกุญแจเข้ารหัส เช่น กรณีกุญแจเข้ารหัสหมดอายุการใช้งาน หรือไม่ปลอดภัย เป็นต้น 
    (2) การอนุมัติการเปลี่ยนแปลง และยกเลิกกุญแจเข้ารหัส
    (3) กระบวนการทำลายกุญแจเข้ารหัส 
    (4) การติดตามวันหมดอายุของกุญแจเข้ารหัส หรือ certificate ที่มีการใช้งาน เพื่อต่ออายุหรือติดตั้งกุญแจเข้ารหัสใหม่ก่อนที่จะเกิดผลกระทบ
</v>
      </c>
      <c r="O84" s="533" t="str" cm="1">
        <f t="array" aca="1" ref="O84" ca="1">IF(INDIRECT("'"&amp;B84&amp;"'!N"&amp;C84)=0,"N/A",INDIRECT("'"&amp;B84&amp;"'!N"&amp;C84))</f>
        <v>Yes/Partial/No</v>
      </c>
      <c r="P84" s="527" t="str" cm="1">
        <f t="array" aca="1" ref="P84" ca="1">IF(INDIRECT("'"&amp;B84&amp;"'!L"&amp;C84)=0,"",INDIRECT("'"&amp;B84&amp;"'!L"&amp;C84))</f>
        <v/>
      </c>
      <c r="Q84" s="527" t="str">
        <f t="shared" ca="1" si="8"/>
        <v/>
      </c>
      <c r="R84" s="563" t="str">
        <f t="shared" ca="1" si="9"/>
        <v>Yes</v>
      </c>
      <c r="S84" s="528" t="s">
        <v>1580</v>
      </c>
      <c r="T84" s="529" t="str">
        <f t="shared" si="10"/>
        <v/>
      </c>
      <c r="U84" s="529" t="str">
        <f t="shared" si="11"/>
        <v/>
      </c>
      <c r="V84" s="529" t="str">
        <f t="shared" si="12"/>
        <v>X</v>
      </c>
      <c r="W84" s="529" t="str">
        <f t="shared" si="13"/>
        <v/>
      </c>
      <c r="X84" s="529" t="str">
        <f t="shared" si="14"/>
        <v/>
      </c>
      <c r="Y84" s="529" t="str">
        <f t="shared" si="15"/>
        <v/>
      </c>
    </row>
    <row r="85" spans="1:25" ht="50.1" x14ac:dyDescent="0.2">
      <c r="A85" s="253" t="s">
        <v>656</v>
      </c>
      <c r="B85" s="253" t="s">
        <v>1592</v>
      </c>
      <c r="C85" s="253">
        <v>9</v>
      </c>
      <c r="D85" s="253" t="s">
        <v>1579</v>
      </c>
      <c r="E85" s="253">
        <v>2.6</v>
      </c>
      <c r="F85" s="253" t="s">
        <v>1571</v>
      </c>
      <c r="G85" s="215" t="str" cm="1">
        <f t="array" aca="1" ref="G85" ca="1">IF(INDIRECT("'"&amp;B85&amp;"'!B"&amp;C85)=0,"",INDIRECT("'"&amp;B85&amp;"'!B"&amp;C85))</f>
        <v>x</v>
      </c>
      <c r="H85" s="215" t="str" cm="1">
        <f t="array" aca="1" ref="H85" ca="1">IF(INDIRECT("'"&amp;B85&amp;"'!C"&amp;C85)=0,"",INDIRECT("'"&amp;B85&amp;"'!C"&amp;C85))</f>
        <v>x</v>
      </c>
      <c r="I85" s="215" t="str" cm="1">
        <f t="array" aca="1" ref="I85" ca="1">IF(INDIRECT("'"&amp;B85&amp;"'!D"&amp;C85)=0,"",INDIRECT("'"&amp;B85&amp;"'!D"&amp;C85))</f>
        <v>x</v>
      </c>
      <c r="J85" s="215" t="str" cm="1">
        <f t="array" aca="1" ref="J85" ca="1">IF(INDIRECT("'"&amp;B85&amp;"'!E"&amp;C85)=0,"",INDIRECT("'"&amp;B85&amp;"'!E"&amp;C85))</f>
        <v/>
      </c>
      <c r="K85" s="253" cm="1">
        <f t="array" aca="1" ref="K85" ca="1">IF(INDIRECT("'"&amp;B85&amp;"'!F"&amp;C85)=0,"N/A",INDIRECT("'"&amp;B85&amp;"'!F"&amp;C85))</f>
        <v>6.2</v>
      </c>
      <c r="L85" s="253" cm="1">
        <f t="array" aca="1" ref="L85" ca="1">IF(INDIRECT("'"&amp;B85&amp;"'!G"&amp;C85)=0,"N/A",INDIRECT("'"&amp;B85&amp;"'!G"&amp;C85))</f>
        <v>4</v>
      </c>
      <c r="M85" s="253" t="str" cm="1">
        <f t="array" aca="1" ref="M85" ca="1">IF(INDIRECT("'"&amp;B85&amp;"'!H"&amp;C85)=0,"N/A",INDIRECT("'"&amp;B85&amp;"'!H"&amp;C85))</f>
        <v>6.2 #4</v>
      </c>
      <c r="N85" s="221" t="str" cm="1">
        <f t="array" aca="1" ref="N85" ca="1">IF(INDIRECT("'"&amp;B85&amp;"'!I"&amp;C85)=0,"N/A",INDIRECT("'"&amp;B85&amp;"'!I"&amp;C85))</f>
        <v>มีการจัดเก็บบันทึกหลักฐานทั้งการเข้าถึง (access log) และการดำเนินงาน (activity log/audit log) ที่เกี่ยวกับการบริหารจัดการกุญแจเข้ารหัส ได้แก่ การสร้างกุญแจ การสำรองกุญแจ การเข้าถึงหรือใช้งานกุญแจ และการเพิกถอนกุญแจเพื่อการสอบทานในอนาคต รวมถึงมีการสอบทานบันทึกเหตุการณ์เกี่ยวกับการใช้กุญแจเข้ารหัสอย่างสม่ำเสมอ ตามมาตรการบริหารจัดการบันทึกเหตุการณ์ของระบบสารสนเทศ</v>
      </c>
      <c r="O85" s="533" t="str" cm="1">
        <f t="array" aca="1" ref="O85" ca="1">IF(INDIRECT("'"&amp;B85&amp;"'!N"&amp;C85)=0,"N/A",INDIRECT("'"&amp;B85&amp;"'!N"&amp;C85))</f>
        <v>Maturity</v>
      </c>
      <c r="P85" s="527" t="str" cm="1">
        <f t="array" aca="1" ref="P85" ca="1">IF(INDIRECT("'"&amp;B85&amp;"'!L"&amp;C85)=0,"",INDIRECT("'"&amp;B85&amp;"'!L"&amp;C85))</f>
        <v/>
      </c>
      <c r="Q85" s="527" t="str">
        <f t="shared" ca="1" si="8"/>
        <v/>
      </c>
      <c r="R85" s="563" t="str">
        <f t="shared" ca="1" si="9"/>
        <v>Yes</v>
      </c>
      <c r="S85" s="528" t="s">
        <v>1580</v>
      </c>
      <c r="T85" s="529" t="str">
        <f t="shared" si="10"/>
        <v/>
      </c>
      <c r="U85" s="529" t="str">
        <f t="shared" si="11"/>
        <v/>
      </c>
      <c r="V85" s="529" t="str">
        <f t="shared" si="12"/>
        <v>X</v>
      </c>
      <c r="W85" s="529" t="str">
        <f t="shared" si="13"/>
        <v/>
      </c>
      <c r="X85" s="529" t="str">
        <f t="shared" si="14"/>
        <v/>
      </c>
      <c r="Y85" s="529" t="str">
        <f t="shared" si="15"/>
        <v/>
      </c>
    </row>
    <row r="86" spans="1:25" ht="87.65" x14ac:dyDescent="0.2">
      <c r="A86" s="253" t="s">
        <v>665</v>
      </c>
      <c r="B86" s="253" t="s">
        <v>1592</v>
      </c>
      <c r="C86" s="253">
        <v>10</v>
      </c>
      <c r="D86" s="253" t="s">
        <v>1579</v>
      </c>
      <c r="E86" s="253">
        <v>2.6</v>
      </c>
      <c r="F86" s="253" t="s">
        <v>1571</v>
      </c>
      <c r="G86" s="215" t="str" cm="1">
        <f t="array" aca="1" ref="G86" ca="1">IF(INDIRECT("'"&amp;B86&amp;"'!B"&amp;C86)=0,"",INDIRECT("'"&amp;B86&amp;"'!B"&amp;C86))</f>
        <v>x</v>
      </c>
      <c r="H86" s="215" t="str" cm="1">
        <f t="array" aca="1" ref="H86" ca="1">IF(INDIRECT("'"&amp;B86&amp;"'!C"&amp;C86)=0,"",INDIRECT("'"&amp;B86&amp;"'!C"&amp;C86))</f>
        <v>x</v>
      </c>
      <c r="I86" s="215" t="str" cm="1">
        <f t="array" aca="1" ref="I86" ca="1">IF(INDIRECT("'"&amp;B86&amp;"'!D"&amp;C86)=0,"",INDIRECT("'"&amp;B86&amp;"'!D"&amp;C86))</f>
        <v>x</v>
      </c>
      <c r="J86" s="215" t="str" cm="1">
        <f t="array" aca="1" ref="J86" ca="1">IF(INDIRECT("'"&amp;B86&amp;"'!E"&amp;C86)=0,"",INDIRECT("'"&amp;B86&amp;"'!E"&amp;C86))</f>
        <v/>
      </c>
      <c r="K86" s="253" cm="1">
        <f t="array" aca="1" ref="K86" ca="1">IF(INDIRECT("'"&amp;B86&amp;"'!F"&amp;C86)=0,"N/A",INDIRECT("'"&amp;B86&amp;"'!F"&amp;C86))</f>
        <v>6.3</v>
      </c>
      <c r="L86" s="253" cm="1">
        <f t="array" aca="1" ref="L86" ca="1">IF(INDIRECT("'"&amp;B86&amp;"'!G"&amp;C86)=0,"N/A",INDIRECT("'"&amp;B86&amp;"'!G"&amp;C86))</f>
        <v>1</v>
      </c>
      <c r="M86" s="253" t="str" cm="1">
        <f t="array" aca="1" ref="M86" ca="1">IF(INDIRECT("'"&amp;B86&amp;"'!H"&amp;C86)=0,"N/A",INDIRECT("'"&amp;B86&amp;"'!H"&amp;C86))</f>
        <v>6.3 #1</v>
      </c>
      <c r="N86" s="221" t="str" cm="1">
        <f t="array" aca="1" ref="N86" ca="1">IF(INDIRECT("'"&amp;B86&amp;"'!I"&amp;C86)=0,"N/A",INDIRECT("'"&amp;B86&amp;"'!I"&amp;C86))</f>
        <v xml:space="preserve">มีการกำหนดมาตรการการควบคุมกุญแจเข้ารหัสที่ให้บริการโดยบุคคลภายนอก ซึ่งครอบคลุมเนื้อหาขั้นต่ำ ดังต่อไปนี้
    (1) ประเภทของกุญแจเข้ารหัสที่ให้บริการ
    (2) รายละเอียดของระบบหรือเครื่องมือเข้ารหัส รวมถึงกระบวนการควบคุมการเข้ารหัสในแต่ละขั้นตอน ตลอดวงจรการบริหารจัดการกุญแจเข้ารหัส
    (3) ข้อแนะนำการใช้งานและการควบคุมการเข้ารหัสข้อมูล
</v>
      </c>
      <c r="O86" s="533" t="str" cm="1">
        <f t="array" aca="1" ref="O86" ca="1">IF(INDIRECT("'"&amp;B86&amp;"'!N"&amp;C86)=0,"N/A",INDIRECT("'"&amp;B86&amp;"'!N"&amp;C86))</f>
        <v>Yes/Partial/No</v>
      </c>
      <c r="P86" s="527" t="str" cm="1">
        <f t="array" aca="1" ref="P86" ca="1">IF(INDIRECT("'"&amp;B86&amp;"'!L"&amp;C86)=0,"",INDIRECT("'"&amp;B86&amp;"'!L"&amp;C86))</f>
        <v/>
      </c>
      <c r="Q86" s="527" t="str">
        <f t="shared" ca="1" si="8"/>
        <v/>
      </c>
      <c r="R86" s="563" t="str">
        <f t="shared" ca="1" si="9"/>
        <v>Yes</v>
      </c>
      <c r="S86" s="528" t="s">
        <v>1572</v>
      </c>
      <c r="T86" s="529" t="str">
        <f t="shared" si="10"/>
        <v>X</v>
      </c>
      <c r="U86" s="529" t="str">
        <f t="shared" si="11"/>
        <v/>
      </c>
      <c r="V86" s="529" t="str">
        <f t="shared" si="12"/>
        <v/>
      </c>
      <c r="W86" s="529" t="str">
        <f t="shared" si="13"/>
        <v/>
      </c>
      <c r="X86" s="529" t="str">
        <f t="shared" si="14"/>
        <v/>
      </c>
      <c r="Y86" s="529" t="str">
        <f t="shared" si="15"/>
        <v/>
      </c>
    </row>
    <row r="87" spans="1:25" ht="37.6" x14ac:dyDescent="0.2">
      <c r="A87" s="253" t="s">
        <v>669</v>
      </c>
      <c r="B87" s="253" t="s">
        <v>1592</v>
      </c>
      <c r="C87" s="253">
        <v>11</v>
      </c>
      <c r="D87" s="253" t="s">
        <v>1579</v>
      </c>
      <c r="E87" s="253">
        <v>2.6</v>
      </c>
      <c r="F87" s="253" t="s">
        <v>1571</v>
      </c>
      <c r="G87" s="215" t="str" cm="1">
        <f t="array" aca="1" ref="G87" ca="1">IF(INDIRECT("'"&amp;B87&amp;"'!B"&amp;C87)=0,"",INDIRECT("'"&amp;B87&amp;"'!B"&amp;C87))</f>
        <v>x</v>
      </c>
      <c r="H87" s="215" t="str" cm="1">
        <f t="array" aca="1" ref="H87" ca="1">IF(INDIRECT("'"&amp;B87&amp;"'!C"&amp;C87)=0,"",INDIRECT("'"&amp;B87&amp;"'!C"&amp;C87))</f>
        <v>x</v>
      </c>
      <c r="I87" s="215" t="str" cm="1">
        <f t="array" aca="1" ref="I87" ca="1">IF(INDIRECT("'"&amp;B87&amp;"'!D"&amp;C87)=0,"",INDIRECT("'"&amp;B87&amp;"'!D"&amp;C87))</f>
        <v>x</v>
      </c>
      <c r="J87" s="215" t="str" cm="1">
        <f t="array" aca="1" ref="J87" ca="1">IF(INDIRECT("'"&amp;B87&amp;"'!E"&amp;C87)=0,"",INDIRECT("'"&amp;B87&amp;"'!E"&amp;C87))</f>
        <v/>
      </c>
      <c r="K87" s="253" cm="1">
        <f t="array" aca="1" ref="K87" ca="1">IF(INDIRECT("'"&amp;B87&amp;"'!F"&amp;C87)=0,"N/A",INDIRECT("'"&amp;B87&amp;"'!F"&amp;C87))</f>
        <v>6.4</v>
      </c>
      <c r="L87" s="253" cm="1">
        <f t="array" aca="1" ref="L87" ca="1">IF(INDIRECT("'"&amp;B87&amp;"'!G"&amp;C87)=0,"N/A",INDIRECT("'"&amp;B87&amp;"'!G"&amp;C87))</f>
        <v>1</v>
      </c>
      <c r="M87" s="253" t="str" cm="1">
        <f t="array" aca="1" ref="M87" ca="1">IF(INDIRECT("'"&amp;B87&amp;"'!H"&amp;C87)=0,"N/A",INDIRECT("'"&amp;B87&amp;"'!H"&amp;C87))</f>
        <v>6.4 #1</v>
      </c>
      <c r="N87" s="221" t="str" cm="1">
        <f t="array" aca="1" ref="N87" ca="1">IF(INDIRECT("'"&amp;B87&amp;"'!I"&amp;C87)=0,"N/A",INDIRECT("'"&amp;B87&amp;"'!I"&amp;C87))</f>
        <v>มีการกำหนดกระบวนการรองรับกรณีเกิดการรั่วไหลของกุญแจเข้ารหัส โดยครอบคลุมเนื้อหา เช่น
    (1) ข้อมูลการติดต่อหน่วยงานและผู้ที่เกี่ยวข้องกับชุดข้อมูลที่ใช้กุญแจเข้ารหัส
    (2) การตรวจสอบชุดข้อมูลที่มีความเสี่ยงในการรั่วไหล การเปลี่ยนหรือเพิกถอนกุญแจการเข้ารหัสข้อมูล</v>
      </c>
      <c r="O87" s="533" t="str" cm="1">
        <f t="array" aca="1" ref="O87" ca="1">IF(INDIRECT("'"&amp;B87&amp;"'!N"&amp;C87)=0,"N/A",INDIRECT("'"&amp;B87&amp;"'!N"&amp;C87))</f>
        <v>Yes/Partial/No</v>
      </c>
      <c r="P87" s="527" t="str" cm="1">
        <f t="array" aca="1" ref="P87" ca="1">IF(INDIRECT("'"&amp;B87&amp;"'!L"&amp;C87)=0,"",INDIRECT("'"&amp;B87&amp;"'!L"&amp;C87))</f>
        <v/>
      </c>
      <c r="Q87" s="527" t="str">
        <f t="shared" ca="1" si="8"/>
        <v/>
      </c>
      <c r="R87" s="563" t="str">
        <f t="shared" ca="1" si="9"/>
        <v>Yes</v>
      </c>
      <c r="S87" s="528" t="s">
        <v>1583</v>
      </c>
      <c r="T87" s="529" t="str">
        <f t="shared" si="10"/>
        <v/>
      </c>
      <c r="U87" s="529" t="str">
        <f t="shared" si="11"/>
        <v/>
      </c>
      <c r="V87" s="529" t="str">
        <f t="shared" si="12"/>
        <v/>
      </c>
      <c r="W87" s="529" t="str">
        <f t="shared" si="13"/>
        <v/>
      </c>
      <c r="X87" s="529" t="str">
        <f t="shared" si="14"/>
        <v>X</v>
      </c>
      <c r="Y87" s="529" t="str">
        <f t="shared" si="15"/>
        <v/>
      </c>
    </row>
    <row r="88" spans="1:25" ht="37.6" x14ac:dyDescent="0.2">
      <c r="A88" s="253" t="s">
        <v>674</v>
      </c>
      <c r="B88" s="253" t="s">
        <v>1593</v>
      </c>
      <c r="C88" s="253">
        <v>4</v>
      </c>
      <c r="D88" s="253" t="s">
        <v>1579</v>
      </c>
      <c r="E88" s="253">
        <v>2.7</v>
      </c>
      <c r="F88" s="253" t="s">
        <v>1571</v>
      </c>
      <c r="G88" s="215" t="str" cm="1">
        <f t="array" aca="1" ref="G88" ca="1">IF(INDIRECT("'"&amp;B88&amp;"'!B"&amp;C88)=0,"",INDIRECT("'"&amp;B88&amp;"'!B"&amp;C88))</f>
        <v>x</v>
      </c>
      <c r="H88" s="215" t="str" cm="1">
        <f t="array" aca="1" ref="H88" ca="1">IF(INDIRECT("'"&amp;B88&amp;"'!C"&amp;C88)=0,"",INDIRECT("'"&amp;B88&amp;"'!C"&amp;C88))</f>
        <v>x</v>
      </c>
      <c r="I88" s="215" t="str" cm="1">
        <f t="array" aca="1" ref="I88" ca="1">IF(INDIRECT("'"&amp;B88&amp;"'!D"&amp;C88)=0,"",INDIRECT("'"&amp;B88&amp;"'!D"&amp;C88))</f>
        <v>x</v>
      </c>
      <c r="J88" s="215" t="str" cm="1">
        <f t="array" aca="1" ref="J88" ca="1">IF(INDIRECT("'"&amp;B88&amp;"'!E"&amp;C88)=0,"",INDIRECT("'"&amp;B88&amp;"'!E"&amp;C88))</f>
        <v/>
      </c>
      <c r="K88" s="253" cm="1">
        <f t="array" aca="1" ref="K88" ca="1">IF(INDIRECT("'"&amp;B88&amp;"'!F"&amp;C88)=0,"N/A",INDIRECT("'"&amp;B88&amp;"'!F"&amp;C88))</f>
        <v>7</v>
      </c>
      <c r="L88" s="253" cm="1">
        <f t="array" aca="1" ref="L88" ca="1">IF(INDIRECT("'"&amp;B88&amp;"'!G"&amp;C88)=0,"N/A",INDIRECT("'"&amp;B88&amp;"'!G"&amp;C88))</f>
        <v>1</v>
      </c>
      <c r="M88" s="253" t="str" cm="1">
        <f t="array" aca="1" ref="M88" ca="1">IF(INDIRECT("'"&amp;B88&amp;"'!H"&amp;C88)=0,"N/A",INDIRECT("'"&amp;B88&amp;"'!H"&amp;C88))</f>
        <v>7 #1</v>
      </c>
      <c r="N88" s="221" t="str" cm="1">
        <f t="array" aca="1" ref="N88" ca="1">IF(INDIRECT("'"&amp;B88&amp;"'!I"&amp;C88)=0,"N/A",INDIRECT("'"&amp;B88&amp;"'!I"&amp;C88))</f>
        <v>มีการออกแบบศูนย์คอมพิวเตอร์ และพื้นที่ที่เกี่ยวข้องกับระบบ IT ที่มีนัยสำคัญ โดยคำนึงถึงความเสี่ยงจากภัยธรรมชาติ และภัยคุกคามจากมนุษย์ เช่น มีกำแพงหรือรั้วที่มั่นคง และมีระยะห่างของศูนย์คอมพิวเตอร์สำรองและศูนย์คอมพิวเตอร์หลักที่เพียงพอ</v>
      </c>
      <c r="O88" s="533" t="str" cm="1">
        <f t="array" aca="1" ref="O88" ca="1">IF(INDIRECT("'"&amp;B88&amp;"'!N"&amp;C88)=0,"N/A",INDIRECT("'"&amp;B88&amp;"'!N"&amp;C88))</f>
        <v>Yes/Partial/No</v>
      </c>
      <c r="P88" s="527" t="str" cm="1">
        <f t="array" aca="1" ref="P88" ca="1">IF(INDIRECT("'"&amp;B88&amp;"'!L"&amp;C88)=0,"",INDIRECT("'"&amp;B88&amp;"'!L"&amp;C88))</f>
        <v/>
      </c>
      <c r="Q88" s="527" t="str">
        <f t="shared" ca="1" si="8"/>
        <v/>
      </c>
      <c r="R88" s="563" t="str">
        <f t="shared" ca="1" si="9"/>
        <v>Yes</v>
      </c>
      <c r="S88" s="528" t="s">
        <v>1580</v>
      </c>
      <c r="T88" s="529" t="str">
        <f t="shared" si="10"/>
        <v/>
      </c>
      <c r="U88" s="529" t="str">
        <f t="shared" si="11"/>
        <v/>
      </c>
      <c r="V88" s="529" t="str">
        <f t="shared" si="12"/>
        <v>X</v>
      </c>
      <c r="W88" s="529" t="str">
        <f t="shared" si="13"/>
        <v/>
      </c>
      <c r="X88" s="529" t="str">
        <f t="shared" si="14"/>
        <v/>
      </c>
      <c r="Y88" s="529" t="str">
        <f t="shared" si="15"/>
        <v/>
      </c>
    </row>
    <row r="89" spans="1:25" ht="75.150000000000006" x14ac:dyDescent="0.2">
      <c r="A89" s="253" t="s">
        <v>678</v>
      </c>
      <c r="B89" s="253" t="s">
        <v>1593</v>
      </c>
      <c r="C89" s="253">
        <v>5</v>
      </c>
      <c r="D89" s="253" t="s">
        <v>1579</v>
      </c>
      <c r="E89" s="253">
        <v>2.7</v>
      </c>
      <c r="F89" s="253" t="s">
        <v>1571</v>
      </c>
      <c r="G89" s="215" t="str" cm="1">
        <f t="array" aca="1" ref="G89" ca="1">IF(INDIRECT("'"&amp;B89&amp;"'!B"&amp;C89)=0,"",INDIRECT("'"&amp;B89&amp;"'!B"&amp;C89))</f>
        <v>x</v>
      </c>
      <c r="H89" s="215" t="str" cm="1">
        <f t="array" aca="1" ref="H89" ca="1">IF(INDIRECT("'"&amp;B89&amp;"'!C"&amp;C89)=0,"",INDIRECT("'"&amp;B89&amp;"'!C"&amp;C89))</f>
        <v>x</v>
      </c>
      <c r="I89" s="215" t="str" cm="1">
        <f t="array" aca="1" ref="I89" ca="1">IF(INDIRECT("'"&amp;B89&amp;"'!D"&amp;C89)=0,"",INDIRECT("'"&amp;B89&amp;"'!D"&amp;C89))</f>
        <v>x</v>
      </c>
      <c r="J89" s="215" t="str" cm="1">
        <f t="array" aca="1" ref="J89" ca="1">IF(INDIRECT("'"&amp;B89&amp;"'!E"&amp;C89)=0,"",INDIRECT("'"&amp;B89&amp;"'!E"&amp;C89))</f>
        <v/>
      </c>
      <c r="K89" s="253" cm="1">
        <f t="array" aca="1" ref="K89" ca="1">IF(INDIRECT("'"&amp;B89&amp;"'!F"&amp;C89)=0,"N/A",INDIRECT("'"&amp;B89&amp;"'!F"&amp;C89))</f>
        <v>7</v>
      </c>
      <c r="L89" s="253" cm="1">
        <f t="array" aca="1" ref="L89" ca="1">IF(INDIRECT("'"&amp;B89&amp;"'!G"&amp;C89)=0,"N/A",INDIRECT("'"&amp;B89&amp;"'!G"&amp;C89))</f>
        <v>2</v>
      </c>
      <c r="M89" s="253" t="str" cm="1">
        <f t="array" aca="1" ref="M89" ca="1">IF(INDIRECT("'"&amp;B89&amp;"'!H"&amp;C89)=0,"N/A",INDIRECT("'"&amp;B89&amp;"'!H"&amp;C89))</f>
        <v>7 #2</v>
      </c>
      <c r="N89" s="221" t="str" cm="1">
        <f t="array" aca="1" ref="N89" ca="1">IF(INDIRECT("'"&amp;B89&amp;"'!I"&amp;C89)=0,"N/A",INDIRECT("'"&amp;B89&amp;"'!I"&amp;C89))</f>
        <v>มีการบริหารจัดการสิทธิการเข้าออกศูนย์คอมพิวเตอร์ และพื้นที่ที่เกี่ยวข้องกับระบบ IT ที่มีนัยสำคัญ โดยครอบคลุมการดำเนินการอย่างน้อย ดังนี้ 
    (1) ให้สิทธิการเข้าถึงตามหลักความจำเป็น
    (2) อนุมัติสิทธิการเข้าถึงโดยผู้มีอำนาจ
    (3) ปรับปรุง/ยกเลิกสิทธิการเข้าถึง ทันทีที่พนักงานลาออกหรือเปลี่ยนหน้าที่ความรับผิดชอบ
    (4) ทบทวนสิทธิการเข้าถึงอย่างสม่ำเสมออย่างน้อยปีละ 1 ครั้ง</v>
      </c>
      <c r="O89" s="533" t="str" cm="1">
        <f t="array" aca="1" ref="O89" ca="1">IF(INDIRECT("'"&amp;B89&amp;"'!N"&amp;C89)=0,"N/A",INDIRECT("'"&amp;B89&amp;"'!N"&amp;C89))</f>
        <v>Maturity</v>
      </c>
      <c r="P89" s="527" t="str" cm="1">
        <f t="array" aca="1" ref="P89" ca="1">IF(INDIRECT("'"&amp;B89&amp;"'!L"&amp;C89)=0,"",INDIRECT("'"&amp;B89&amp;"'!L"&amp;C89))</f>
        <v/>
      </c>
      <c r="Q89" s="527" t="str">
        <f t="shared" ca="1" si="8"/>
        <v/>
      </c>
      <c r="R89" s="563" t="str">
        <f t="shared" ca="1" si="9"/>
        <v>Yes</v>
      </c>
      <c r="S89" s="528" t="s">
        <v>1580</v>
      </c>
      <c r="T89" s="529" t="str">
        <f t="shared" si="10"/>
        <v/>
      </c>
      <c r="U89" s="529" t="str">
        <f t="shared" si="11"/>
        <v/>
      </c>
      <c r="V89" s="529" t="str">
        <f t="shared" si="12"/>
        <v>X</v>
      </c>
      <c r="W89" s="529" t="str">
        <f t="shared" si="13"/>
        <v/>
      </c>
      <c r="X89" s="529" t="str">
        <f t="shared" si="14"/>
        <v/>
      </c>
      <c r="Y89" s="529" t="str">
        <f t="shared" si="15"/>
        <v/>
      </c>
    </row>
    <row r="90" spans="1:25" ht="50.1" x14ac:dyDescent="0.2">
      <c r="A90" s="253" t="s">
        <v>687</v>
      </c>
      <c r="B90" s="253" t="s">
        <v>1593</v>
      </c>
      <c r="C90" s="253">
        <v>6</v>
      </c>
      <c r="D90" s="253" t="s">
        <v>1579</v>
      </c>
      <c r="E90" s="253">
        <v>2.7</v>
      </c>
      <c r="F90" s="253" t="s">
        <v>1571</v>
      </c>
      <c r="G90" s="215" t="str" cm="1">
        <f t="array" aca="1" ref="G90" ca="1">IF(INDIRECT("'"&amp;B90&amp;"'!B"&amp;C90)=0,"",INDIRECT("'"&amp;B90&amp;"'!B"&amp;C90))</f>
        <v>x</v>
      </c>
      <c r="H90" s="215" t="str" cm="1">
        <f t="array" aca="1" ref="H90" ca="1">IF(INDIRECT("'"&amp;B90&amp;"'!C"&amp;C90)=0,"",INDIRECT("'"&amp;B90&amp;"'!C"&amp;C90))</f>
        <v>x</v>
      </c>
      <c r="I90" s="215" t="str" cm="1">
        <f t="array" aca="1" ref="I90" ca="1">IF(INDIRECT("'"&amp;B90&amp;"'!D"&amp;C90)=0,"",INDIRECT("'"&amp;B90&amp;"'!D"&amp;C90))</f>
        <v>x</v>
      </c>
      <c r="J90" s="215" t="str" cm="1">
        <f t="array" aca="1" ref="J90" ca="1">IF(INDIRECT("'"&amp;B90&amp;"'!E"&amp;C90)=0,"",INDIRECT("'"&amp;B90&amp;"'!E"&amp;C90))</f>
        <v/>
      </c>
      <c r="K90" s="253" cm="1">
        <f t="array" aca="1" ref="K90" ca="1">IF(INDIRECT("'"&amp;B90&amp;"'!F"&amp;C90)=0,"N/A",INDIRECT("'"&amp;B90&amp;"'!F"&amp;C90))</f>
        <v>7</v>
      </c>
      <c r="L90" s="253" cm="1">
        <f t="array" aca="1" ref="L90" ca="1">IF(INDIRECT("'"&amp;B90&amp;"'!G"&amp;C90)=0,"N/A",INDIRECT("'"&amp;B90&amp;"'!G"&amp;C90))</f>
        <v>3</v>
      </c>
      <c r="M90" s="253" t="str" cm="1">
        <f t="array" aca="1" ref="M90" ca="1">IF(INDIRECT("'"&amp;B90&amp;"'!H"&amp;C90)=0,"N/A",INDIRECT("'"&amp;B90&amp;"'!H"&amp;C90))</f>
        <v>7 #3</v>
      </c>
      <c r="N90" s="221" t="str" cm="1">
        <f t="array" aca="1" ref="N90" ca="1">IF(INDIRECT("'"&amp;B90&amp;"'!I"&amp;C90)=0,"N/A",INDIRECT("'"&amp;B90&amp;"'!I"&amp;C90))</f>
        <v>มีวิธีการยืนยันตัวตนผู้เข้า-ออกศูนย์คอมพิวเตอร์ และพื้นที่ที่เกี่ยวข้องกับระบบ IT ที่มีนัยสำคัญ เช่น การใช้ access card door เป็นต้น พร้อมทั้งบันทึกเหตุการณ์การเข้า-ออก
ทั้งนี้ สำหรับพื้นที่ที่มีความเสี่ยงสูง ผู้ประกอบธุรกิจอาจพิจารณาใช้การพิสูจน์และยืนยันตัวตนแบบ multi-factor authentication : MFA เช่น ใช้ access card door ร่วมกับรหัสผ่านส่วนตัว (PIN) เป็นต้น</v>
      </c>
      <c r="O90" s="533" t="str" cm="1">
        <f t="array" aca="1" ref="O90" ca="1">IF(INDIRECT("'"&amp;B90&amp;"'!N"&amp;C90)=0,"N/A",INDIRECT("'"&amp;B90&amp;"'!N"&amp;C90))</f>
        <v>Maturity</v>
      </c>
      <c r="P90" s="527" t="str" cm="1">
        <f t="array" aca="1" ref="P90" ca="1">IF(INDIRECT("'"&amp;B90&amp;"'!L"&amp;C90)=0,"",INDIRECT("'"&amp;B90&amp;"'!L"&amp;C90))</f>
        <v/>
      </c>
      <c r="Q90" s="527" t="str">
        <f t="shared" ca="1" si="8"/>
        <v/>
      </c>
      <c r="R90" s="563" t="str">
        <f t="shared" ca="1" si="9"/>
        <v>Yes</v>
      </c>
      <c r="S90" s="528" t="s">
        <v>1580</v>
      </c>
      <c r="T90" s="529" t="str">
        <f t="shared" si="10"/>
        <v/>
      </c>
      <c r="U90" s="529" t="str">
        <f t="shared" si="11"/>
        <v/>
      </c>
      <c r="V90" s="529" t="str">
        <f t="shared" si="12"/>
        <v>X</v>
      </c>
      <c r="W90" s="529" t="str">
        <f t="shared" si="13"/>
        <v/>
      </c>
      <c r="X90" s="529" t="str">
        <f t="shared" si="14"/>
        <v/>
      </c>
      <c r="Y90" s="529" t="str">
        <f t="shared" si="15"/>
        <v/>
      </c>
    </row>
    <row r="91" spans="1:25" ht="37.6" x14ac:dyDescent="0.2">
      <c r="A91" s="253" t="s">
        <v>696</v>
      </c>
      <c r="B91" s="253" t="s">
        <v>1593</v>
      </c>
      <c r="C91" s="253">
        <v>7</v>
      </c>
      <c r="D91" s="253" t="s">
        <v>1579</v>
      </c>
      <c r="E91" s="253">
        <v>2.7</v>
      </c>
      <c r="F91" s="253" t="s">
        <v>1571</v>
      </c>
      <c r="G91" s="215" t="str" cm="1">
        <f t="array" aca="1" ref="G91" ca="1">IF(INDIRECT("'"&amp;B91&amp;"'!B"&amp;C91)=0,"",INDIRECT("'"&amp;B91&amp;"'!B"&amp;C91))</f>
        <v>x</v>
      </c>
      <c r="H91" s="215" t="str" cm="1">
        <f t="array" aca="1" ref="H91" ca="1">IF(INDIRECT("'"&amp;B91&amp;"'!C"&amp;C91)=0,"",INDIRECT("'"&amp;B91&amp;"'!C"&amp;C91))</f>
        <v>x</v>
      </c>
      <c r="I91" s="215" t="str" cm="1">
        <f t="array" aca="1" ref="I91" ca="1">IF(INDIRECT("'"&amp;B91&amp;"'!D"&amp;C91)=0,"",INDIRECT("'"&amp;B91&amp;"'!D"&amp;C91))</f>
        <v>x</v>
      </c>
      <c r="J91" s="215" t="str" cm="1">
        <f t="array" aca="1" ref="J91" ca="1">IF(INDIRECT("'"&amp;B91&amp;"'!E"&amp;C91)=0,"",INDIRECT("'"&amp;B91&amp;"'!E"&amp;C91))</f>
        <v/>
      </c>
      <c r="K91" s="253" cm="1">
        <f t="array" aca="1" ref="K91" ca="1">IF(INDIRECT("'"&amp;B91&amp;"'!F"&amp;C91)=0,"N/A",INDIRECT("'"&amp;B91&amp;"'!F"&amp;C91))</f>
        <v>7</v>
      </c>
      <c r="L91" s="253" cm="1">
        <f t="array" aca="1" ref="L91" ca="1">IF(INDIRECT("'"&amp;B91&amp;"'!G"&amp;C91)=0,"N/A",INDIRECT("'"&amp;B91&amp;"'!G"&amp;C91))</f>
        <v>4</v>
      </c>
      <c r="M91" s="253" t="str" cm="1">
        <f t="array" aca="1" ref="M91" ca="1">IF(INDIRECT("'"&amp;B91&amp;"'!H"&amp;C91)=0,"N/A",INDIRECT("'"&amp;B91&amp;"'!H"&amp;C91))</f>
        <v>7 #4</v>
      </c>
      <c r="N91" s="221" t="str" cm="1">
        <f t="array" aca="1" ref="N91" ca="1">IF(INDIRECT("'"&amp;B91&amp;"'!I"&amp;C91)=0,"N/A",INDIRECT("'"&amp;B91&amp;"'!I"&amp;C91))</f>
        <v>มีมาตรการควบคุมการเข้า-ออกศูนย์คอมพิวเตอร์ และพื้นที่ที่เกี่ยวข้องกับระบบ IT ที่มีนัยสำคัญ สำหรับพนักงานที่ไม่ได้มีหน้าที่ปฏิบัติงานประจำหรือผู้ที่เข้าถึงแบบชั่วคราว จัดให้มีการอนุมัติโดยผู้มีอำนาจ มีการบันทึกเหตุการณ์เข้า-ออก และการติดตามและควบคุม (escort) อย่างใกล้ชิด ตลอดระยะเวลาปฏิบัติงานในพื้นที่ดังกล่าว</v>
      </c>
      <c r="O91" s="533" t="str" cm="1">
        <f t="array" aca="1" ref="O91" ca="1">IF(INDIRECT("'"&amp;B91&amp;"'!N"&amp;C91)=0,"N/A",INDIRECT("'"&amp;B91&amp;"'!N"&amp;C91))</f>
        <v>Yes/Partial/No</v>
      </c>
      <c r="P91" s="527" t="str" cm="1">
        <f t="array" aca="1" ref="P91" ca="1">IF(INDIRECT("'"&amp;B91&amp;"'!L"&amp;C91)=0,"",INDIRECT("'"&amp;B91&amp;"'!L"&amp;C91))</f>
        <v/>
      </c>
      <c r="Q91" s="527" t="str">
        <f t="shared" ca="1" si="8"/>
        <v/>
      </c>
      <c r="R91" s="563" t="str">
        <f t="shared" ca="1" si="9"/>
        <v>Yes</v>
      </c>
      <c r="S91" s="528" t="s">
        <v>1580</v>
      </c>
      <c r="T91" s="529" t="str">
        <f t="shared" si="10"/>
        <v/>
      </c>
      <c r="U91" s="529" t="str">
        <f t="shared" si="11"/>
        <v/>
      </c>
      <c r="V91" s="529" t="str">
        <f t="shared" si="12"/>
        <v>X</v>
      </c>
      <c r="W91" s="529" t="str">
        <f t="shared" si="13"/>
        <v/>
      </c>
      <c r="X91" s="529" t="str">
        <f t="shared" si="14"/>
        <v/>
      </c>
      <c r="Y91" s="529" t="str">
        <f t="shared" si="15"/>
        <v/>
      </c>
    </row>
    <row r="92" spans="1:25" ht="37.6" x14ac:dyDescent="0.2">
      <c r="A92" s="253" t="s">
        <v>700</v>
      </c>
      <c r="B92" s="253" t="s">
        <v>1593</v>
      </c>
      <c r="C92" s="253">
        <v>8</v>
      </c>
      <c r="D92" s="253" t="s">
        <v>1579</v>
      </c>
      <c r="E92" s="253">
        <v>2.7</v>
      </c>
      <c r="F92" s="253" t="s">
        <v>1571</v>
      </c>
      <c r="G92" s="215" t="str" cm="1">
        <f t="array" aca="1" ref="G92" ca="1">IF(INDIRECT("'"&amp;B92&amp;"'!B"&amp;C92)=0,"",INDIRECT("'"&amp;B92&amp;"'!B"&amp;C92))</f>
        <v>x</v>
      </c>
      <c r="H92" s="215" t="str" cm="1">
        <f t="array" aca="1" ref="H92" ca="1">IF(INDIRECT("'"&amp;B92&amp;"'!C"&amp;C92)=0,"",INDIRECT("'"&amp;B92&amp;"'!C"&amp;C92))</f>
        <v>x</v>
      </c>
      <c r="I92" s="215" t="str" cm="1">
        <f t="array" aca="1" ref="I92" ca="1">IF(INDIRECT("'"&amp;B92&amp;"'!D"&amp;C92)=0,"",INDIRECT("'"&amp;B92&amp;"'!D"&amp;C92))</f>
        <v>x</v>
      </c>
      <c r="J92" s="215" t="str" cm="1">
        <f t="array" aca="1" ref="J92" ca="1">IF(INDIRECT("'"&amp;B92&amp;"'!E"&amp;C92)=0,"",INDIRECT("'"&amp;B92&amp;"'!E"&amp;C92))</f>
        <v/>
      </c>
      <c r="K92" s="253" cm="1">
        <f t="array" aca="1" ref="K92" ca="1">IF(INDIRECT("'"&amp;B92&amp;"'!F"&amp;C92)=0,"N/A",INDIRECT("'"&amp;B92&amp;"'!F"&amp;C92))</f>
        <v>7</v>
      </c>
      <c r="L92" s="253" cm="1">
        <f t="array" aca="1" ref="L92" ca="1">IF(INDIRECT("'"&amp;B92&amp;"'!G"&amp;C92)=0,"N/A",INDIRECT("'"&amp;B92&amp;"'!G"&amp;C92))</f>
        <v>5</v>
      </c>
      <c r="M92" s="253" t="str" cm="1">
        <f t="array" aca="1" ref="M92" ca="1">IF(INDIRECT("'"&amp;B92&amp;"'!H"&amp;C92)=0,"N/A",INDIRECT("'"&amp;B92&amp;"'!H"&amp;C92))</f>
        <v>7 #5</v>
      </c>
      <c r="N92" s="221" t="str" cm="1">
        <f t="array" aca="1" ref="N92" ca="1">IF(INDIRECT("'"&amp;B92&amp;"'!I"&amp;C92)=0,"N/A",INDIRECT("'"&amp;B92&amp;"'!I"&amp;C92))</f>
        <v>มีระบบรักษาความมั่นคงปลอดภัยให้กับศูนย์คอมพิวเตอร์ เช่น ระบบกล้องวงจรปิด ระบบแจ้งเตือนและระงับอัคคีภัย ระบบควบคุมแรงดันและกระแสไฟฟ้า ระบบสำรองไฟฟ้า (uninterrupted power supply) และระบบควบคุมอุณหภูมิและความชื้น เป็นต้น พร้อมทั้งมีการบำรุงรักษาอย่างสม่ำเสมอ</v>
      </c>
      <c r="O92" s="533" t="str" cm="1">
        <f t="array" aca="1" ref="O92" ca="1">IF(INDIRECT("'"&amp;B92&amp;"'!N"&amp;C92)=0,"N/A",INDIRECT("'"&amp;B92&amp;"'!N"&amp;C92))</f>
        <v>Yes/Partial/No</v>
      </c>
      <c r="P92" s="527" t="str" cm="1">
        <f t="array" aca="1" ref="P92" ca="1">IF(INDIRECT("'"&amp;B92&amp;"'!L"&amp;C92)=0,"",INDIRECT("'"&amp;B92&amp;"'!L"&amp;C92))</f>
        <v/>
      </c>
      <c r="Q92" s="527" t="str">
        <f t="shared" ca="1" si="8"/>
        <v/>
      </c>
      <c r="R92" s="563" t="str">
        <f t="shared" ca="1" si="9"/>
        <v>Yes</v>
      </c>
      <c r="S92" s="528" t="s">
        <v>1594</v>
      </c>
      <c r="T92" s="529" t="str">
        <f t="shared" si="10"/>
        <v/>
      </c>
      <c r="U92" s="529" t="str">
        <f t="shared" si="11"/>
        <v/>
      </c>
      <c r="V92" s="529" t="str">
        <f t="shared" si="12"/>
        <v>X</v>
      </c>
      <c r="W92" s="529" t="str">
        <f t="shared" si="13"/>
        <v>X</v>
      </c>
      <c r="X92" s="529" t="str">
        <f t="shared" si="14"/>
        <v/>
      </c>
      <c r="Y92" s="529" t="str">
        <f t="shared" si="15"/>
        <v/>
      </c>
    </row>
    <row r="93" spans="1:25" ht="25.05" x14ac:dyDescent="0.2">
      <c r="A93" s="253" t="s">
        <v>704</v>
      </c>
      <c r="B93" s="253" t="s">
        <v>1593</v>
      </c>
      <c r="C93" s="253">
        <v>9</v>
      </c>
      <c r="D93" s="253" t="s">
        <v>1579</v>
      </c>
      <c r="E93" s="253">
        <v>2.7</v>
      </c>
      <c r="F93" s="253" t="s">
        <v>1571</v>
      </c>
      <c r="G93" s="215" t="str" cm="1">
        <f t="array" aca="1" ref="G93" ca="1">IF(INDIRECT("'"&amp;B93&amp;"'!B"&amp;C93)=0,"",INDIRECT("'"&amp;B93&amp;"'!B"&amp;C93))</f>
        <v>x</v>
      </c>
      <c r="H93" s="215" t="str" cm="1">
        <f t="array" aca="1" ref="H93" ca="1">IF(INDIRECT("'"&amp;B93&amp;"'!C"&amp;C93)=0,"",INDIRECT("'"&amp;B93&amp;"'!C"&amp;C93))</f>
        <v>x</v>
      </c>
      <c r="I93" s="215" t="str" cm="1">
        <f t="array" aca="1" ref="I93" ca="1">IF(INDIRECT("'"&amp;B93&amp;"'!D"&amp;C93)=0,"",INDIRECT("'"&amp;B93&amp;"'!D"&amp;C93))</f>
        <v>x</v>
      </c>
      <c r="J93" s="215" t="str" cm="1">
        <f t="array" aca="1" ref="J93" ca="1">IF(INDIRECT("'"&amp;B93&amp;"'!E"&amp;C93)=0,"",INDIRECT("'"&amp;B93&amp;"'!E"&amp;C93))</f>
        <v/>
      </c>
      <c r="K93" s="253" cm="1">
        <f t="array" aca="1" ref="K93" ca="1">IF(INDIRECT("'"&amp;B93&amp;"'!F"&amp;C93)=0,"N/A",INDIRECT("'"&amp;B93&amp;"'!F"&amp;C93))</f>
        <v>7</v>
      </c>
      <c r="L93" s="253" cm="1">
        <f t="array" aca="1" ref="L93" ca="1">IF(INDIRECT("'"&amp;B93&amp;"'!G"&amp;C93)=0,"N/A",INDIRECT("'"&amp;B93&amp;"'!G"&amp;C93))</f>
        <v>6</v>
      </c>
      <c r="M93" s="253" t="str" cm="1">
        <f t="array" aca="1" ref="M93" ca="1">IF(INDIRECT("'"&amp;B93&amp;"'!H"&amp;C93)=0,"N/A",INDIRECT("'"&amp;B93&amp;"'!H"&amp;C93))</f>
        <v>7 #6</v>
      </c>
      <c r="N93" s="221" t="str" cm="1">
        <f t="array" aca="1" ref="N93" ca="1">IF(INDIRECT("'"&amp;B93&amp;"'!I"&amp;C93)=0,"N/A",INDIRECT("'"&amp;B93&amp;"'!I"&amp;C93))</f>
        <v>มีมาตรการรองรับการทำงานผิดพลาดของระบบสาธารณูปโภคของศูนย์คอมพิวเตอร์ เช่น ระบบไฟฟ้า ระบบโทรคมนาคมและระบบปรับอากาศ เป็นต้น</v>
      </c>
      <c r="O93" s="533" t="str" cm="1">
        <f t="array" aca="1" ref="O93" ca="1">IF(INDIRECT("'"&amp;B93&amp;"'!N"&amp;C93)=0,"N/A",INDIRECT("'"&amp;B93&amp;"'!N"&amp;C93))</f>
        <v>Yes/Partial/No</v>
      </c>
      <c r="P93" s="527" t="str" cm="1">
        <f t="array" aca="1" ref="P93" ca="1">IF(INDIRECT("'"&amp;B93&amp;"'!L"&amp;C93)=0,"",INDIRECT("'"&amp;B93&amp;"'!L"&amp;C93))</f>
        <v/>
      </c>
      <c r="Q93" s="527" t="str">
        <f t="shared" ca="1" si="8"/>
        <v/>
      </c>
      <c r="R93" s="563" t="str">
        <f t="shared" ca="1" si="9"/>
        <v>Yes</v>
      </c>
      <c r="S93" s="528" t="s">
        <v>1580</v>
      </c>
      <c r="T93" s="529" t="str">
        <f t="shared" si="10"/>
        <v/>
      </c>
      <c r="U93" s="529" t="str">
        <f t="shared" si="11"/>
        <v/>
      </c>
      <c r="V93" s="529" t="str">
        <f t="shared" si="12"/>
        <v>X</v>
      </c>
      <c r="W93" s="529" t="str">
        <f t="shared" si="13"/>
        <v/>
      </c>
      <c r="X93" s="529" t="str">
        <f t="shared" si="14"/>
        <v/>
      </c>
      <c r="Y93" s="529" t="str">
        <f t="shared" si="15"/>
        <v/>
      </c>
    </row>
    <row r="94" spans="1:25" ht="25.05" x14ac:dyDescent="0.2">
      <c r="A94" s="253" t="s">
        <v>708</v>
      </c>
      <c r="B94" s="253" t="s">
        <v>1593</v>
      </c>
      <c r="C94" s="253">
        <v>10</v>
      </c>
      <c r="D94" s="253" t="s">
        <v>1579</v>
      </c>
      <c r="E94" s="253">
        <v>2.7</v>
      </c>
      <c r="F94" s="253" t="s">
        <v>1571</v>
      </c>
      <c r="G94" s="215" t="str" cm="1">
        <f t="array" aca="1" ref="G94" ca="1">IF(INDIRECT("'"&amp;B94&amp;"'!B"&amp;C94)=0,"",INDIRECT("'"&amp;B94&amp;"'!B"&amp;C94))</f>
        <v>x</v>
      </c>
      <c r="H94" s="215" t="str" cm="1">
        <f t="array" aca="1" ref="H94" ca="1">IF(INDIRECT("'"&amp;B94&amp;"'!C"&amp;C94)=0,"",INDIRECT("'"&amp;B94&amp;"'!C"&amp;C94))</f>
        <v>x</v>
      </c>
      <c r="I94" s="215" t="str" cm="1">
        <f t="array" aca="1" ref="I94" ca="1">IF(INDIRECT("'"&amp;B94&amp;"'!D"&amp;C94)=0,"",INDIRECT("'"&amp;B94&amp;"'!D"&amp;C94))</f>
        <v>x</v>
      </c>
      <c r="J94" s="215" t="str" cm="1">
        <f t="array" aca="1" ref="J94" ca="1">IF(INDIRECT("'"&amp;B94&amp;"'!E"&amp;C94)=0,"",INDIRECT("'"&amp;B94&amp;"'!E"&amp;C94))</f>
        <v/>
      </c>
      <c r="K94" s="253" cm="1">
        <f t="array" aca="1" ref="K94" ca="1">IF(INDIRECT("'"&amp;B94&amp;"'!F"&amp;C94)=0,"N/A",INDIRECT("'"&amp;B94&amp;"'!F"&amp;C94))</f>
        <v>7</v>
      </c>
      <c r="L94" s="253" cm="1">
        <f t="array" aca="1" ref="L94" ca="1">IF(INDIRECT("'"&amp;B94&amp;"'!G"&amp;C94)=0,"N/A",INDIRECT("'"&amp;B94&amp;"'!G"&amp;C94))</f>
        <v>7</v>
      </c>
      <c r="M94" s="253" t="str" cm="1">
        <f t="array" aca="1" ref="M94" ca="1">IF(INDIRECT("'"&amp;B94&amp;"'!H"&amp;C94)=0,"N/A",INDIRECT("'"&amp;B94&amp;"'!H"&amp;C94))</f>
        <v>7 #7</v>
      </c>
      <c r="N94" s="221" t="str" cm="1">
        <f t="array" aca="1" ref="N94" ca="1">IF(INDIRECT("'"&amp;B94&amp;"'!I"&amp;C94)=0,"N/A",INDIRECT("'"&amp;B94&amp;"'!I"&amp;C94))</f>
        <v>มีการจัดเก็บอุปกรณ์คอมพิวเตอร์ที่สำคัญ เช่น เครื่องแม่ข่าย และอุปกรณ์เครือข่าย เป็นต้น ไว้ในพื้นที่ที่มีการควบคุมอย่างปลอดภัย</v>
      </c>
      <c r="O94" s="533" t="str" cm="1">
        <f t="array" aca="1" ref="O94" ca="1">IF(INDIRECT("'"&amp;B94&amp;"'!N"&amp;C94)=0,"N/A",INDIRECT("'"&amp;B94&amp;"'!N"&amp;C94))</f>
        <v>Yes/Partial/No</v>
      </c>
      <c r="P94" s="527" t="str" cm="1">
        <f t="array" aca="1" ref="P94" ca="1">IF(INDIRECT("'"&amp;B94&amp;"'!L"&amp;C94)=0,"",INDIRECT("'"&amp;B94&amp;"'!L"&amp;C94))</f>
        <v/>
      </c>
      <c r="Q94" s="527" t="str">
        <f t="shared" ca="1" si="8"/>
        <v/>
      </c>
      <c r="R94" s="563" t="str">
        <f t="shared" ca="1" si="9"/>
        <v>Yes</v>
      </c>
      <c r="S94" s="528" t="s">
        <v>1580</v>
      </c>
      <c r="T94" s="529" t="str">
        <f t="shared" si="10"/>
        <v/>
      </c>
      <c r="U94" s="529" t="str">
        <f t="shared" si="11"/>
        <v/>
      </c>
      <c r="V94" s="529" t="str">
        <f t="shared" si="12"/>
        <v>X</v>
      </c>
      <c r="W94" s="529" t="str">
        <f t="shared" si="13"/>
        <v/>
      </c>
      <c r="X94" s="529" t="str">
        <f t="shared" si="14"/>
        <v/>
      </c>
      <c r="Y94" s="529" t="str">
        <f t="shared" si="15"/>
        <v/>
      </c>
    </row>
    <row r="95" spans="1:25" ht="25.05" x14ac:dyDescent="0.2">
      <c r="A95" s="253" t="s">
        <v>712</v>
      </c>
      <c r="B95" s="253" t="s">
        <v>1593</v>
      </c>
      <c r="C95" s="253">
        <v>11</v>
      </c>
      <c r="D95" s="253" t="s">
        <v>1579</v>
      </c>
      <c r="E95" s="253">
        <v>2.7</v>
      </c>
      <c r="F95" s="253" t="s">
        <v>1571</v>
      </c>
      <c r="G95" s="215" t="str" cm="1">
        <f t="array" aca="1" ref="G95" ca="1">IF(INDIRECT("'"&amp;B95&amp;"'!B"&amp;C95)=0,"",INDIRECT("'"&amp;B95&amp;"'!B"&amp;C95))</f>
        <v>x</v>
      </c>
      <c r="H95" s="215" t="str" cm="1">
        <f t="array" aca="1" ref="H95" ca="1">IF(INDIRECT("'"&amp;B95&amp;"'!C"&amp;C95)=0,"",INDIRECT("'"&amp;B95&amp;"'!C"&amp;C95))</f>
        <v>x</v>
      </c>
      <c r="I95" s="215" t="str" cm="1">
        <f t="array" aca="1" ref="I95" ca="1">IF(INDIRECT("'"&amp;B95&amp;"'!D"&amp;C95)=0,"",INDIRECT("'"&amp;B95&amp;"'!D"&amp;C95))</f>
        <v>x</v>
      </c>
      <c r="J95" s="215" t="str" cm="1">
        <f t="array" aca="1" ref="J95" ca="1">IF(INDIRECT("'"&amp;B95&amp;"'!E"&amp;C95)=0,"",INDIRECT("'"&amp;B95&amp;"'!E"&amp;C95))</f>
        <v/>
      </c>
      <c r="K95" s="253" cm="1">
        <f t="array" aca="1" ref="K95" ca="1">IF(INDIRECT("'"&amp;B95&amp;"'!F"&amp;C95)=0,"N/A",INDIRECT("'"&amp;B95&amp;"'!F"&amp;C95))</f>
        <v>7</v>
      </c>
      <c r="L95" s="253" cm="1">
        <f t="array" aca="1" ref="L95" ca="1">IF(INDIRECT("'"&amp;B95&amp;"'!G"&amp;C95)=0,"N/A",INDIRECT("'"&amp;B95&amp;"'!G"&amp;C95))</f>
        <v>8</v>
      </c>
      <c r="M95" s="253" t="str" cm="1">
        <f t="array" aca="1" ref="M95" ca="1">IF(INDIRECT("'"&amp;B95&amp;"'!H"&amp;C95)=0,"N/A",INDIRECT("'"&amp;B95&amp;"'!H"&amp;C95))</f>
        <v>7 #8</v>
      </c>
      <c r="N95" s="221" t="str" cm="1">
        <f t="array" aca="1" ref="N95" ca="1">IF(INDIRECT("'"&amp;B95&amp;"'!I"&amp;C95)=0,"N/A",INDIRECT("'"&amp;B95&amp;"'!I"&amp;C95))</f>
        <v>มีมาตรการป้องกันสายเคเบิลและสายไฟของศูนย์คอมพิวเตอร์จากการขัดขวางการทำงาน การแทรกแซงสัญญาณ หรือการทำให้เสียหาย และบำรุงรักษาอย่างสม่ำเสมอ</v>
      </c>
      <c r="O95" s="533" t="str" cm="1">
        <f t="array" aca="1" ref="O95" ca="1">IF(INDIRECT("'"&amp;B95&amp;"'!N"&amp;C95)=0,"N/A",INDIRECT("'"&amp;B95&amp;"'!N"&amp;C95))</f>
        <v>Yes/Partial/No</v>
      </c>
      <c r="P95" s="527" t="str" cm="1">
        <f t="array" aca="1" ref="P95" ca="1">IF(INDIRECT("'"&amp;B95&amp;"'!L"&amp;C95)=0,"",INDIRECT("'"&amp;B95&amp;"'!L"&amp;C95))</f>
        <v/>
      </c>
      <c r="Q95" s="527" t="str">
        <f t="shared" ca="1" si="8"/>
        <v/>
      </c>
      <c r="R95" s="563" t="str">
        <f t="shared" ca="1" si="9"/>
        <v>Yes</v>
      </c>
      <c r="S95" s="528" t="s">
        <v>1580</v>
      </c>
      <c r="T95" s="529" t="str">
        <f t="shared" si="10"/>
        <v/>
      </c>
      <c r="U95" s="529" t="str">
        <f t="shared" si="11"/>
        <v/>
      </c>
      <c r="V95" s="529" t="str">
        <f t="shared" si="12"/>
        <v>X</v>
      </c>
      <c r="W95" s="529" t="str">
        <f t="shared" si="13"/>
        <v/>
      </c>
      <c r="X95" s="529" t="str">
        <f t="shared" si="14"/>
        <v/>
      </c>
      <c r="Y95" s="529" t="str">
        <f t="shared" si="15"/>
        <v/>
      </c>
    </row>
    <row r="96" spans="1:25" ht="25.05" x14ac:dyDescent="0.2">
      <c r="A96" s="253" t="s">
        <v>716</v>
      </c>
      <c r="B96" s="253" t="s">
        <v>1593</v>
      </c>
      <c r="C96" s="253">
        <v>12</v>
      </c>
      <c r="D96" s="253" t="s">
        <v>1579</v>
      </c>
      <c r="E96" s="253">
        <v>2.7</v>
      </c>
      <c r="F96" s="253" t="s">
        <v>1571</v>
      </c>
      <c r="G96" s="215" t="str" cm="1">
        <f t="array" aca="1" ref="G96" ca="1">IF(INDIRECT("'"&amp;B96&amp;"'!B"&amp;C96)=0,"",INDIRECT("'"&amp;B96&amp;"'!B"&amp;C96))</f>
        <v>x</v>
      </c>
      <c r="H96" s="215" t="str" cm="1">
        <f t="array" aca="1" ref="H96" ca="1">IF(INDIRECT("'"&amp;B96&amp;"'!C"&amp;C96)=0,"",INDIRECT("'"&amp;B96&amp;"'!C"&amp;C96))</f>
        <v>x</v>
      </c>
      <c r="I96" s="215" t="str" cm="1">
        <f t="array" aca="1" ref="I96" ca="1">IF(INDIRECT("'"&amp;B96&amp;"'!D"&amp;C96)=0,"",INDIRECT("'"&amp;B96&amp;"'!D"&amp;C96))</f>
        <v>x</v>
      </c>
      <c r="J96" s="215" t="str" cm="1">
        <f t="array" aca="1" ref="J96" ca="1">IF(INDIRECT("'"&amp;B96&amp;"'!E"&amp;C96)=0,"",INDIRECT("'"&amp;B96&amp;"'!E"&amp;C96))</f>
        <v/>
      </c>
      <c r="K96" s="253" cm="1">
        <f t="array" aca="1" ref="K96" ca="1">IF(INDIRECT("'"&amp;B96&amp;"'!F"&amp;C96)=0,"N/A",INDIRECT("'"&amp;B96&amp;"'!F"&amp;C96))</f>
        <v>7</v>
      </c>
      <c r="L96" s="253" cm="1">
        <f t="array" aca="1" ref="L96" ca="1">IF(INDIRECT("'"&amp;B96&amp;"'!G"&amp;C96)=0,"N/A",INDIRECT("'"&amp;B96&amp;"'!G"&amp;C96))</f>
        <v>9</v>
      </c>
      <c r="M96" s="253" t="str" cm="1">
        <f t="array" aca="1" ref="M96" ca="1">IF(INDIRECT("'"&amp;B96&amp;"'!H"&amp;C96)=0,"N/A",INDIRECT("'"&amp;B96&amp;"'!H"&amp;C96))</f>
        <v>7 #9</v>
      </c>
      <c r="N96" s="221" t="str" cm="1">
        <f t="array" aca="1" ref="N96" ca="1">IF(INDIRECT("'"&amp;B96&amp;"'!I"&amp;C96)=0,"N/A",INDIRECT("'"&amp;B96&amp;"'!I"&amp;C96))</f>
        <v>มีการดูแลและบำรุงรักษาทรัพย์สินด้าน IT ประเภทฮาร์ดแวร์อย่างถูกวิธี เพื่อให้อยู่ในสภาพครบถ้วนสมบูรณ์และพร้อมใช้งาน</v>
      </c>
      <c r="O96" s="533" t="str" cm="1">
        <f t="array" aca="1" ref="O96" ca="1">IF(INDIRECT("'"&amp;B96&amp;"'!N"&amp;C96)=0,"N/A",INDIRECT("'"&amp;B96&amp;"'!N"&amp;C96))</f>
        <v>Yes/Partial/No</v>
      </c>
      <c r="P96" s="527" t="str" cm="1">
        <f t="array" aca="1" ref="P96" ca="1">IF(INDIRECT("'"&amp;B96&amp;"'!L"&amp;C96)=0,"",INDIRECT("'"&amp;B96&amp;"'!L"&amp;C96))</f>
        <v/>
      </c>
      <c r="Q96" s="527" t="str">
        <f t="shared" ca="1" si="8"/>
        <v/>
      </c>
      <c r="R96" s="563" t="str">
        <f t="shared" ca="1" si="9"/>
        <v>Yes</v>
      </c>
      <c r="S96" s="528" t="s">
        <v>1580</v>
      </c>
      <c r="T96" s="529" t="str">
        <f t="shared" si="10"/>
        <v/>
      </c>
      <c r="U96" s="529" t="str">
        <f t="shared" si="11"/>
        <v/>
      </c>
      <c r="V96" s="529" t="str">
        <f t="shared" si="12"/>
        <v>X</v>
      </c>
      <c r="W96" s="529" t="str">
        <f t="shared" si="13"/>
        <v/>
      </c>
      <c r="X96" s="529" t="str">
        <f t="shared" si="14"/>
        <v/>
      </c>
      <c r="Y96" s="529" t="str">
        <f t="shared" si="15"/>
        <v/>
      </c>
    </row>
    <row r="97" spans="1:25" ht="25.05" x14ac:dyDescent="0.2">
      <c r="A97" s="253" t="s">
        <v>720</v>
      </c>
      <c r="B97" s="253" t="s">
        <v>1593</v>
      </c>
      <c r="C97" s="253">
        <v>13</v>
      </c>
      <c r="D97" s="253" t="s">
        <v>1579</v>
      </c>
      <c r="E97" s="253">
        <v>2.7</v>
      </c>
      <c r="F97" s="253" t="s">
        <v>1571</v>
      </c>
      <c r="G97" s="215" t="str" cm="1">
        <f t="array" aca="1" ref="G97" ca="1">IF(INDIRECT("'"&amp;B97&amp;"'!B"&amp;C97)=0,"",INDIRECT("'"&amp;B97&amp;"'!B"&amp;C97))</f>
        <v>x</v>
      </c>
      <c r="H97" s="215" t="str" cm="1">
        <f t="array" aca="1" ref="H97" ca="1">IF(INDIRECT("'"&amp;B97&amp;"'!C"&amp;C97)=0,"",INDIRECT("'"&amp;B97&amp;"'!C"&amp;C97))</f>
        <v>x</v>
      </c>
      <c r="I97" s="215" t="str" cm="1">
        <f t="array" aca="1" ref="I97" ca="1">IF(INDIRECT("'"&amp;B97&amp;"'!D"&amp;C97)=0,"",INDIRECT("'"&amp;B97&amp;"'!D"&amp;C97))</f>
        <v>x</v>
      </c>
      <c r="J97" s="215" t="str" cm="1">
        <f t="array" aca="1" ref="J97" ca="1">IF(INDIRECT("'"&amp;B97&amp;"'!E"&amp;C97)=0,"",INDIRECT("'"&amp;B97&amp;"'!E"&amp;C97))</f>
        <v/>
      </c>
      <c r="K97" s="253" cm="1">
        <f t="array" aca="1" ref="K97" ca="1">IF(INDIRECT("'"&amp;B97&amp;"'!F"&amp;C97)=0,"N/A",INDIRECT("'"&amp;B97&amp;"'!F"&amp;C97))</f>
        <v>7</v>
      </c>
      <c r="L97" s="253" cm="1">
        <f t="array" aca="1" ref="L97" ca="1">IF(INDIRECT("'"&amp;B97&amp;"'!G"&amp;C97)=0,"N/A",INDIRECT("'"&amp;B97&amp;"'!G"&amp;C97))</f>
        <v>10</v>
      </c>
      <c r="M97" s="253" t="str" cm="1">
        <f t="array" aca="1" ref="M97" ca="1">IF(INDIRECT("'"&amp;B97&amp;"'!H"&amp;C97)=0,"N/A",INDIRECT("'"&amp;B97&amp;"'!H"&amp;C97))</f>
        <v>7 #10</v>
      </c>
      <c r="N97" s="221" t="str" cm="1">
        <f t="array" aca="1" ref="N97" ca="1">IF(INDIRECT("'"&amp;B97&amp;"'!I"&amp;C97)=0,"N/A",INDIRECT("'"&amp;B97&amp;"'!I"&amp;C97))</f>
        <v>มีการแยกพื้นที่จุดรับส่งของ (delivery and loading area) ซึ่งเป็นพื้นที่ส่วนที่ต้องมีการเข้าถึงโดยบุคคลภายนอก ออกจากพื้นที่ที่มีการประมวลผลข้อมูล</v>
      </c>
      <c r="O97" s="533" t="str" cm="1">
        <f t="array" aca="1" ref="O97" ca="1">IF(INDIRECT("'"&amp;B97&amp;"'!N"&amp;C97)=0,"N/A",INDIRECT("'"&amp;B97&amp;"'!N"&amp;C97))</f>
        <v>Yes/Partial/No</v>
      </c>
      <c r="P97" s="527" t="str" cm="1">
        <f t="array" aca="1" ref="P97" ca="1">IF(INDIRECT("'"&amp;B97&amp;"'!L"&amp;C97)=0,"",INDIRECT("'"&amp;B97&amp;"'!L"&amp;C97))</f>
        <v/>
      </c>
      <c r="Q97" s="527" t="str">
        <f t="shared" ca="1" si="8"/>
        <v/>
      </c>
      <c r="R97" s="563" t="str">
        <f t="shared" ca="1" si="9"/>
        <v>Yes</v>
      </c>
      <c r="S97" s="528" t="s">
        <v>1580</v>
      </c>
      <c r="T97" s="529" t="str">
        <f t="shared" si="10"/>
        <v/>
      </c>
      <c r="U97" s="529" t="str">
        <f t="shared" si="11"/>
        <v/>
      </c>
      <c r="V97" s="529" t="str">
        <f t="shared" si="12"/>
        <v>X</v>
      </c>
      <c r="W97" s="529" t="str">
        <f t="shared" si="13"/>
        <v/>
      </c>
      <c r="X97" s="529" t="str">
        <f t="shared" si="14"/>
        <v/>
      </c>
      <c r="Y97" s="529" t="str">
        <f t="shared" si="15"/>
        <v/>
      </c>
    </row>
    <row r="98" spans="1:25" x14ac:dyDescent="0.2">
      <c r="A98" s="253" t="s">
        <v>724</v>
      </c>
      <c r="B98" s="253" t="s">
        <v>1593</v>
      </c>
      <c r="C98" s="253">
        <v>14</v>
      </c>
      <c r="D98" s="253" t="s">
        <v>1579</v>
      </c>
      <c r="E98" s="253">
        <v>2.7</v>
      </c>
      <c r="F98" s="253" t="s">
        <v>1571</v>
      </c>
      <c r="G98" s="215" t="str" cm="1">
        <f t="array" aca="1" ref="G98" ca="1">IF(INDIRECT("'"&amp;B98&amp;"'!B"&amp;C98)=0,"",INDIRECT("'"&amp;B98&amp;"'!B"&amp;C98))</f>
        <v>x</v>
      </c>
      <c r="H98" s="215" t="str" cm="1">
        <f t="array" aca="1" ref="H98" ca="1">IF(INDIRECT("'"&amp;B98&amp;"'!C"&amp;C98)=0,"",INDIRECT("'"&amp;B98&amp;"'!C"&amp;C98))</f>
        <v>x</v>
      </c>
      <c r="I98" s="215" t="str" cm="1">
        <f t="array" aca="1" ref="I98" ca="1">IF(INDIRECT("'"&amp;B98&amp;"'!D"&amp;C98)=0,"",INDIRECT("'"&amp;B98&amp;"'!D"&amp;C98))</f>
        <v>x</v>
      </c>
      <c r="J98" s="215" t="str" cm="1">
        <f t="array" aca="1" ref="J98" ca="1">IF(INDIRECT("'"&amp;B98&amp;"'!E"&amp;C98)=0,"",INDIRECT("'"&amp;B98&amp;"'!E"&amp;C98))</f>
        <v/>
      </c>
      <c r="K98" s="253" cm="1">
        <f t="array" aca="1" ref="K98" ca="1">IF(INDIRECT("'"&amp;B98&amp;"'!F"&amp;C98)=0,"N/A",INDIRECT("'"&amp;B98&amp;"'!F"&amp;C98))</f>
        <v>7</v>
      </c>
      <c r="L98" s="253" cm="1">
        <f t="array" aca="1" ref="L98" ca="1">IF(INDIRECT("'"&amp;B98&amp;"'!G"&amp;C98)=0,"N/A",INDIRECT("'"&amp;B98&amp;"'!G"&amp;C98))</f>
        <v>11</v>
      </c>
      <c r="M98" s="253" t="str" cm="1">
        <f t="array" aca="1" ref="M98" ca="1">IF(INDIRECT("'"&amp;B98&amp;"'!H"&amp;C98)=0,"N/A",INDIRECT("'"&amp;B98&amp;"'!H"&amp;C98))</f>
        <v>7 #11</v>
      </c>
      <c r="N98" s="221" t="str" cm="1">
        <f t="array" aca="1" ref="N98" ca="1">IF(INDIRECT("'"&amp;B98&amp;"'!I"&amp;C98)=0,"N/A",INDIRECT("'"&amp;B98&amp;"'!I"&amp;C98))</f>
        <v>มีการควบคุมมิให้มีการนำทรัพย์สินด้าน IT ประเภทฮาร์ดแวร์ออกนอกพื้นที่โดยมิได้รับอนุญาต</v>
      </c>
      <c r="O98" s="533" t="str" cm="1">
        <f t="array" aca="1" ref="O98" ca="1">IF(INDIRECT("'"&amp;B98&amp;"'!N"&amp;C98)=0,"N/A",INDIRECT("'"&amp;B98&amp;"'!N"&amp;C98))</f>
        <v>Yes/Partial/No</v>
      </c>
      <c r="P98" s="527" t="str" cm="1">
        <f t="array" aca="1" ref="P98" ca="1">IF(INDIRECT("'"&amp;B98&amp;"'!L"&amp;C98)=0,"",INDIRECT("'"&amp;B98&amp;"'!L"&amp;C98))</f>
        <v/>
      </c>
      <c r="Q98" s="527" t="str">
        <f t="shared" ca="1" si="8"/>
        <v/>
      </c>
      <c r="R98" s="563" t="str">
        <f t="shared" ca="1" si="9"/>
        <v>Yes</v>
      </c>
      <c r="S98" s="528" t="s">
        <v>1580</v>
      </c>
      <c r="T98" s="529" t="str">
        <f t="shared" si="10"/>
        <v/>
      </c>
      <c r="U98" s="529" t="str">
        <f t="shared" si="11"/>
        <v/>
      </c>
      <c r="V98" s="529" t="str">
        <f t="shared" si="12"/>
        <v>X</v>
      </c>
      <c r="W98" s="529" t="str">
        <f t="shared" si="13"/>
        <v/>
      </c>
      <c r="X98" s="529" t="str">
        <f t="shared" si="14"/>
        <v/>
      </c>
      <c r="Y98" s="529" t="str">
        <f t="shared" si="15"/>
        <v/>
      </c>
    </row>
    <row r="99" spans="1:25" ht="50.1" x14ac:dyDescent="0.2">
      <c r="A99" s="253" t="s">
        <v>728</v>
      </c>
      <c r="B99" s="253" t="s">
        <v>1593</v>
      </c>
      <c r="C99" s="253">
        <v>15</v>
      </c>
      <c r="D99" s="253" t="s">
        <v>1579</v>
      </c>
      <c r="E99" s="253">
        <v>2.7</v>
      </c>
      <c r="F99" s="253" t="s">
        <v>1571</v>
      </c>
      <c r="G99" s="215" t="str" cm="1">
        <f t="array" aca="1" ref="G99" ca="1">IF(INDIRECT("'"&amp;B99&amp;"'!B"&amp;C99)=0,"",INDIRECT("'"&amp;B99&amp;"'!B"&amp;C99))</f>
        <v>x</v>
      </c>
      <c r="H99" s="215" t="str" cm="1">
        <f t="array" aca="1" ref="H99" ca="1">IF(INDIRECT("'"&amp;B99&amp;"'!C"&amp;C99)=0,"",INDIRECT("'"&amp;B99&amp;"'!C"&amp;C99))</f>
        <v>x</v>
      </c>
      <c r="I99" s="215" t="str" cm="1">
        <f t="array" aca="1" ref="I99" ca="1">IF(INDIRECT("'"&amp;B99&amp;"'!D"&amp;C99)=0,"",INDIRECT("'"&amp;B99&amp;"'!D"&amp;C99))</f>
        <v>x</v>
      </c>
      <c r="J99" s="215" t="str" cm="1">
        <f t="array" aca="1" ref="J99" ca="1">IF(INDIRECT("'"&amp;B99&amp;"'!E"&amp;C99)=0,"",INDIRECT("'"&amp;B99&amp;"'!E"&amp;C99))</f>
        <v/>
      </c>
      <c r="K99" s="253" cm="1">
        <f t="array" aca="1" ref="K99" ca="1">IF(INDIRECT("'"&amp;B99&amp;"'!F"&amp;C99)=0,"N/A",INDIRECT("'"&amp;B99&amp;"'!F"&amp;C99))</f>
        <v>7</v>
      </c>
      <c r="L99" s="253" cm="1">
        <f t="array" aca="1" ref="L99" ca="1">IF(INDIRECT("'"&amp;B99&amp;"'!G"&amp;C99)=0,"N/A",INDIRECT("'"&amp;B99&amp;"'!G"&amp;C99))</f>
        <v>12</v>
      </c>
      <c r="M99" s="253" t="str" cm="1">
        <f t="array" aca="1" ref="M99" ca="1">IF(INDIRECT("'"&amp;B99&amp;"'!H"&amp;C99)=0,"N/A",INDIRECT("'"&amp;B99&amp;"'!H"&amp;C99))</f>
        <v>7 #12</v>
      </c>
      <c r="N99" s="221" t="str" cm="1">
        <f t="array" aca="1" ref="N99" ca="1">IF(INDIRECT("'"&amp;B99&amp;"'!I"&amp;C99)=0,"N/A",INDIRECT("'"&amp;B99&amp;"'!I"&amp;C99))</f>
        <v>ก่อนการยกเลิกการใช้งานหรือจำหน่ายทรัพย์สินด้าน IT ประเภทฮาร์ดแวร์ เช่น hard disk, switch, firewall และ router เป็นต้น มีการจัดเก็บทรัพย์สินในพื้นที่ปลอดภัย และตรวจสอบให้มั่นใจว่าได้มีการลบ ย้าย ทำลายข้อมูลสำคัญและข้อมูลการตั้งค่า (configuration) หรือปรับค่าดังกล่าวกลับไปสู่ค่าตั้งต้น (factory reset) ด้วยวิธีการที่ไม่สามารถกู้คืนได้อีก</v>
      </c>
      <c r="O99" s="533" t="str" cm="1">
        <f t="array" aca="1" ref="O99" ca="1">IF(INDIRECT("'"&amp;B99&amp;"'!N"&amp;C99)=0,"N/A",INDIRECT("'"&amp;B99&amp;"'!N"&amp;C99))</f>
        <v>Yes/Partial/No</v>
      </c>
      <c r="P99" s="527" t="str" cm="1">
        <f t="array" aca="1" ref="P99" ca="1">IF(INDIRECT("'"&amp;B99&amp;"'!L"&amp;C99)=0,"",INDIRECT("'"&amp;B99&amp;"'!L"&amp;C99))</f>
        <v/>
      </c>
      <c r="Q99" s="527" t="str">
        <f t="shared" ca="1" si="8"/>
        <v/>
      </c>
      <c r="R99" s="563" t="str">
        <f t="shared" ca="1" si="9"/>
        <v>Yes</v>
      </c>
      <c r="S99" s="528" t="s">
        <v>1580</v>
      </c>
      <c r="T99" s="529" t="str">
        <f t="shared" si="10"/>
        <v/>
      </c>
      <c r="U99" s="529" t="str">
        <f t="shared" si="11"/>
        <v/>
      </c>
      <c r="V99" s="529" t="str">
        <f t="shared" si="12"/>
        <v>X</v>
      </c>
      <c r="W99" s="529" t="str">
        <f t="shared" si="13"/>
        <v/>
      </c>
      <c r="X99" s="529" t="str">
        <f t="shared" si="14"/>
        <v/>
      </c>
      <c r="Y99" s="529" t="str">
        <f t="shared" si="15"/>
        <v/>
      </c>
    </row>
    <row r="100" spans="1:25" ht="100.2" x14ac:dyDescent="0.2">
      <c r="A100" s="253" t="s">
        <v>734</v>
      </c>
      <c r="B100" s="253" t="s">
        <v>1595</v>
      </c>
      <c r="C100" s="253">
        <v>5</v>
      </c>
      <c r="D100" s="253" t="s">
        <v>1579</v>
      </c>
      <c r="E100" s="253" t="s">
        <v>1596</v>
      </c>
      <c r="F100" s="253" t="s">
        <v>1571</v>
      </c>
      <c r="G100" s="215" t="str" cm="1">
        <f t="array" aca="1" ref="G100" ca="1">IF(INDIRECT("'"&amp;B100&amp;"'!B"&amp;C100)=0,"",INDIRECT("'"&amp;B100&amp;"'!B"&amp;C100))</f>
        <v>x</v>
      </c>
      <c r="H100" s="215" t="str" cm="1">
        <f t="array" aca="1" ref="H100" ca="1">IF(INDIRECT("'"&amp;B100&amp;"'!C"&amp;C100)=0,"",INDIRECT("'"&amp;B100&amp;"'!C"&amp;C100))</f>
        <v>x</v>
      </c>
      <c r="I100" s="215" t="str" cm="1">
        <f t="array" aca="1" ref="I100" ca="1">IF(INDIRECT("'"&amp;B100&amp;"'!D"&amp;C100)=0,"",INDIRECT("'"&amp;B100&amp;"'!D"&amp;C100))</f>
        <v>x</v>
      </c>
      <c r="J100" s="215" t="str" cm="1">
        <f t="array" aca="1" ref="J100" ca="1">IF(INDIRECT("'"&amp;B100&amp;"'!E"&amp;C100)=0,"",INDIRECT("'"&amp;B100&amp;"'!E"&amp;C100))</f>
        <v>x</v>
      </c>
      <c r="K100" s="253" cm="1">
        <f t="array" aca="1" ref="K100" ca="1">IF(INDIRECT("'"&amp;B100&amp;"'!F"&amp;C100)=0,"N/A",INDIRECT("'"&amp;B100&amp;"'!F"&amp;C100))</f>
        <v>8.1</v>
      </c>
      <c r="L100" s="253" cm="1">
        <f t="array" aca="1" ref="L100" ca="1">IF(INDIRECT("'"&amp;B100&amp;"'!G"&amp;C100)=0,"N/A",INDIRECT("'"&amp;B100&amp;"'!G"&amp;C100))</f>
        <v>1</v>
      </c>
      <c r="M100" s="253" t="str" cm="1">
        <f t="array" aca="1" ref="M100" ca="1">IF(INDIRECT("'"&amp;B100&amp;"'!H"&amp;C100)=0,"N/A",INDIRECT("'"&amp;B100&amp;"'!H"&amp;C100))</f>
        <v>8.1 #1</v>
      </c>
      <c r="N100" s="221" t="str" cm="1">
        <f t="array" aca="1" ref="N100" ca="1">IF(INDIRECT("'"&amp;B100&amp;"'!I"&amp;C100)=0,"N/A",INDIRECT("'"&amp;B100&amp;"'!I"&amp;C100))</f>
        <v>มีการกำหนดมาตรฐานการตั้งค่าด้านความมั่นคงปลอดภัย (security configuration standard) หรือ security baseline อย่างเป็นลายลักษณ์อักษร เพื่อใช้ในการตั้งค่าระบบปฏิบัติการ ระบบฐานข้อมูล และอุปกรณ์เครือข่าย โดยคำนึงถึงเรื่อง ดังนี้
    (1) การลบบัญชีผู้ใช้งานตั้งต้น (default user) หรือการเปลี่ยนแปลงรหัสผ่านตั้งต้น (default password)
    (2) การใช้วิธีการยืนยันตัวตนที่มีความรัดกุมปลอดภัย
    (3) การกำหนดบริการ แอปพลิเคชัน และพอร์ตการเชื่อมต่อเท่าที่จำเป็น
    (4) การจัดเก็บข้อมูลบันทึกเหตุการณ์ (log)
    (5) การปรับปรุงเวอร์ชันของซอฟต์แวร์และ firmware ให้เป็นปัจจุบัน</v>
      </c>
      <c r="O100" s="533" t="str" cm="1">
        <f t="array" aca="1" ref="O100" ca="1">IF(INDIRECT("'"&amp;B100&amp;"'!N"&amp;C100)=0,"N/A",INDIRECT("'"&amp;B100&amp;"'!N"&amp;C100))</f>
        <v>Yes/Partial/No</v>
      </c>
      <c r="P100" s="527" t="str" cm="1">
        <f t="array" aca="1" ref="P100" ca="1">IF(INDIRECT("'"&amp;B100&amp;"'!L"&amp;C100)=0,"",INDIRECT("'"&amp;B100&amp;"'!L"&amp;C100))</f>
        <v/>
      </c>
      <c r="Q100" s="527" t="str">
        <f t="shared" ca="1" si="8"/>
        <v/>
      </c>
      <c r="R100" s="563" t="str">
        <f t="shared" ca="1" si="9"/>
        <v>Yes</v>
      </c>
      <c r="S100" s="528" t="s">
        <v>1572</v>
      </c>
      <c r="T100" s="529" t="str">
        <f t="shared" si="10"/>
        <v>X</v>
      </c>
      <c r="U100" s="529" t="str">
        <f t="shared" si="11"/>
        <v/>
      </c>
      <c r="V100" s="529" t="str">
        <f t="shared" si="12"/>
        <v/>
      </c>
      <c r="W100" s="529" t="str">
        <f t="shared" si="13"/>
        <v/>
      </c>
      <c r="X100" s="529" t="str">
        <f t="shared" si="14"/>
        <v/>
      </c>
      <c r="Y100" s="529" t="str">
        <f t="shared" si="15"/>
        <v/>
      </c>
    </row>
    <row r="101" spans="1:25" ht="25.05" x14ac:dyDescent="0.2">
      <c r="A101" s="253" t="s">
        <v>738</v>
      </c>
      <c r="B101" s="253" t="s">
        <v>1595</v>
      </c>
      <c r="C101" s="253">
        <v>6</v>
      </c>
      <c r="D101" s="253" t="s">
        <v>1579</v>
      </c>
      <c r="E101" s="253" t="s">
        <v>1596</v>
      </c>
      <c r="F101" s="253" t="s">
        <v>1571</v>
      </c>
      <c r="G101" s="215" t="str" cm="1">
        <f t="array" aca="1" ref="G101" ca="1">IF(INDIRECT("'"&amp;B101&amp;"'!B"&amp;C101)=0,"",INDIRECT("'"&amp;B101&amp;"'!B"&amp;C101))</f>
        <v>x</v>
      </c>
      <c r="H101" s="215" t="str" cm="1">
        <f t="array" aca="1" ref="H101" ca="1">IF(INDIRECT("'"&amp;B101&amp;"'!C"&amp;C101)=0,"",INDIRECT("'"&amp;B101&amp;"'!C"&amp;C101))</f>
        <v>x</v>
      </c>
      <c r="I101" s="215" t="str" cm="1">
        <f t="array" aca="1" ref="I101" ca="1">IF(INDIRECT("'"&amp;B101&amp;"'!D"&amp;C101)=0,"",INDIRECT("'"&amp;B101&amp;"'!D"&amp;C101))</f>
        <v>x</v>
      </c>
      <c r="J101" s="215" t="str" cm="1">
        <f t="array" aca="1" ref="J101" ca="1">IF(INDIRECT("'"&amp;B101&amp;"'!E"&amp;C101)=0,"",INDIRECT("'"&amp;B101&amp;"'!E"&amp;C101))</f>
        <v>x</v>
      </c>
      <c r="K101" s="253" cm="1">
        <f t="array" aca="1" ref="K101" ca="1">IF(INDIRECT("'"&amp;B101&amp;"'!F"&amp;C101)=0,"N/A",INDIRECT("'"&amp;B101&amp;"'!F"&amp;C101))</f>
        <v>8.1</v>
      </c>
      <c r="L101" s="253" cm="1">
        <f t="array" aca="1" ref="L101" ca="1">IF(INDIRECT("'"&amp;B101&amp;"'!G"&amp;C101)=0,"N/A",INDIRECT("'"&amp;B101&amp;"'!G"&amp;C101))</f>
        <v>2</v>
      </c>
      <c r="M101" s="253" t="str" cm="1">
        <f t="array" aca="1" ref="M101" ca="1">IF(INDIRECT("'"&amp;B101&amp;"'!H"&amp;C101)=0,"N/A",INDIRECT("'"&amp;B101&amp;"'!H"&amp;C101))</f>
        <v>8.1 #2</v>
      </c>
      <c r="N101" s="221" t="str" cm="1">
        <f t="array" aca="1" ref="N101" ca="1">IF(INDIRECT("'"&amp;B101&amp;"'!I"&amp;C101)=0,"N/A",INDIRECT("'"&amp;B101&amp;"'!I"&amp;C101))</f>
        <v>มีการทบทวนและปรับปรุงมาตรฐานการตั้งค่าด้านความมั่นคงปลอดภัย (security configuration standard) หรือ  security baseline ให้เป็นปัจจุบันอย่างสม่ำเสมอ</v>
      </c>
      <c r="O101" s="533" t="str" cm="1">
        <f t="array" aca="1" ref="O101" ca="1">IF(INDIRECT("'"&amp;B101&amp;"'!N"&amp;C101)=0,"N/A",INDIRECT("'"&amp;B101&amp;"'!N"&amp;C101))</f>
        <v>Yes/Partial/No</v>
      </c>
      <c r="P101" s="527" t="str" cm="1">
        <f t="array" aca="1" ref="P101" ca="1">IF(INDIRECT("'"&amp;B101&amp;"'!L"&amp;C101)=0,"",INDIRECT("'"&amp;B101&amp;"'!L"&amp;C101))</f>
        <v/>
      </c>
      <c r="Q101" s="527" t="str">
        <f t="shared" ca="1" si="8"/>
        <v/>
      </c>
      <c r="R101" s="563" t="str">
        <f t="shared" ca="1" si="9"/>
        <v>Yes</v>
      </c>
      <c r="S101" s="528" t="s">
        <v>1572</v>
      </c>
      <c r="T101" s="529" t="str">
        <f t="shared" si="10"/>
        <v>X</v>
      </c>
      <c r="U101" s="529" t="str">
        <f t="shared" si="11"/>
        <v/>
      </c>
      <c r="V101" s="529" t="str">
        <f t="shared" si="12"/>
        <v/>
      </c>
      <c r="W101" s="529" t="str">
        <f t="shared" si="13"/>
        <v/>
      </c>
      <c r="X101" s="529" t="str">
        <f t="shared" si="14"/>
        <v/>
      </c>
      <c r="Y101" s="529" t="str">
        <f t="shared" si="15"/>
        <v/>
      </c>
    </row>
    <row r="102" spans="1:25" ht="25.05" x14ac:dyDescent="0.2">
      <c r="A102" s="253" t="s">
        <v>742</v>
      </c>
      <c r="B102" s="253" t="s">
        <v>1595</v>
      </c>
      <c r="C102" s="253">
        <v>7</v>
      </c>
      <c r="D102" s="253" t="s">
        <v>1579</v>
      </c>
      <c r="E102" s="253" t="s">
        <v>1596</v>
      </c>
      <c r="F102" s="253" t="s">
        <v>1571</v>
      </c>
      <c r="G102" s="215" t="str" cm="1">
        <f t="array" aca="1" ref="G102" ca="1">IF(INDIRECT("'"&amp;B102&amp;"'!B"&amp;C102)=0,"",INDIRECT("'"&amp;B102&amp;"'!B"&amp;C102))</f>
        <v>x</v>
      </c>
      <c r="H102" s="215" t="str" cm="1">
        <f t="array" aca="1" ref="H102" ca="1">IF(INDIRECT("'"&amp;B102&amp;"'!C"&amp;C102)=0,"",INDIRECT("'"&amp;B102&amp;"'!C"&amp;C102))</f>
        <v>x</v>
      </c>
      <c r="I102" s="215" t="str" cm="1">
        <f t="array" aca="1" ref="I102" ca="1">IF(INDIRECT("'"&amp;B102&amp;"'!D"&amp;C102)=0,"",INDIRECT("'"&amp;B102&amp;"'!D"&amp;C102))</f>
        <v>x</v>
      </c>
      <c r="J102" s="215" t="str" cm="1">
        <f t="array" aca="1" ref="J102" ca="1">IF(INDIRECT("'"&amp;B102&amp;"'!E"&amp;C102)=0,"",INDIRECT("'"&amp;B102&amp;"'!E"&amp;C102))</f>
        <v>x</v>
      </c>
      <c r="K102" s="253" cm="1">
        <f t="array" aca="1" ref="K102" ca="1">IF(INDIRECT("'"&amp;B102&amp;"'!F"&amp;C102)=0,"N/A",INDIRECT("'"&amp;B102&amp;"'!F"&amp;C102))</f>
        <v>8.1</v>
      </c>
      <c r="L102" s="253" cm="1">
        <f t="array" aca="1" ref="L102" ca="1">IF(INDIRECT("'"&amp;B102&amp;"'!G"&amp;C102)=0,"N/A",INDIRECT("'"&amp;B102&amp;"'!G"&amp;C102))</f>
        <v>3</v>
      </c>
      <c r="M102" s="253" t="str" cm="1">
        <f t="array" aca="1" ref="M102" ca="1">IF(INDIRECT("'"&amp;B102&amp;"'!H"&amp;C102)=0,"N/A",INDIRECT("'"&amp;B102&amp;"'!H"&amp;C102))</f>
        <v>8.1 #3</v>
      </c>
      <c r="N102" s="221" t="str" cm="1">
        <f t="array" aca="1" ref="N102" ca="1">IF(INDIRECT("'"&amp;B102&amp;"'!I"&amp;C102)=0,"N/A",INDIRECT("'"&amp;B102&amp;"'!I"&amp;C102))</f>
        <v>มีการตั้งค่าด้านความมั่นคงปลอดภัยของระบบปฏิบัติการ ระบบฐานข้อมูล และอุปกรณ์เครือข่ายตามมาตรฐานที่กำหนดไว้ ก่อนการนำไปใช้งาน</v>
      </c>
      <c r="O102" s="533" t="str" cm="1">
        <f t="array" aca="1" ref="O102" ca="1">IF(INDIRECT("'"&amp;B102&amp;"'!N"&amp;C102)=0,"N/A",INDIRECT("'"&amp;B102&amp;"'!N"&amp;C102))</f>
        <v>Yes/Partial/No</v>
      </c>
      <c r="P102" s="527" t="str" cm="1">
        <f t="array" aca="1" ref="P102" ca="1">IF(INDIRECT("'"&amp;B102&amp;"'!L"&amp;C102)=0,"",INDIRECT("'"&amp;B102&amp;"'!L"&amp;C102))</f>
        <v/>
      </c>
      <c r="Q102" s="527" t="str">
        <f t="shared" ca="1" si="8"/>
        <v/>
      </c>
      <c r="R102" s="563" t="str">
        <f t="shared" ca="1" si="9"/>
        <v>Yes</v>
      </c>
      <c r="S102" s="528" t="s">
        <v>1580</v>
      </c>
      <c r="T102" s="529" t="str">
        <f t="shared" si="10"/>
        <v/>
      </c>
      <c r="U102" s="529" t="str">
        <f t="shared" si="11"/>
        <v/>
      </c>
      <c r="V102" s="529" t="str">
        <f t="shared" si="12"/>
        <v>X</v>
      </c>
      <c r="W102" s="529" t="str">
        <f t="shared" si="13"/>
        <v/>
      </c>
      <c r="X102" s="529" t="str">
        <f t="shared" si="14"/>
        <v/>
      </c>
      <c r="Y102" s="529" t="str">
        <f t="shared" si="15"/>
        <v/>
      </c>
    </row>
    <row r="103" spans="1:25" ht="37.6" x14ac:dyDescent="0.2">
      <c r="A103" s="253" t="s">
        <v>746</v>
      </c>
      <c r="B103" s="253" t="s">
        <v>1595</v>
      </c>
      <c r="C103" s="253">
        <v>8</v>
      </c>
      <c r="D103" s="253" t="s">
        <v>1579</v>
      </c>
      <c r="E103" s="253" t="s">
        <v>1596</v>
      </c>
      <c r="F103" s="253" t="s">
        <v>1571</v>
      </c>
      <c r="G103" s="215" t="str" cm="1">
        <f t="array" aca="1" ref="G103" ca="1">IF(INDIRECT("'"&amp;B103&amp;"'!B"&amp;C103)=0,"",INDIRECT("'"&amp;B103&amp;"'!B"&amp;C103))</f>
        <v>x</v>
      </c>
      <c r="H103" s="215" t="str" cm="1">
        <f t="array" aca="1" ref="H103" ca="1">IF(INDIRECT("'"&amp;B103&amp;"'!C"&amp;C103)=0,"",INDIRECT("'"&amp;B103&amp;"'!C"&amp;C103))</f>
        <v>x</v>
      </c>
      <c r="I103" s="215" t="str" cm="1">
        <f t="array" aca="1" ref="I103" ca="1">IF(INDIRECT("'"&amp;B103&amp;"'!D"&amp;C103)=0,"",INDIRECT("'"&amp;B103&amp;"'!D"&amp;C103))</f>
        <v>x</v>
      </c>
      <c r="J103" s="215" t="str" cm="1">
        <f t="array" aca="1" ref="J103" ca="1">IF(INDIRECT("'"&amp;B103&amp;"'!E"&amp;C103)=0,"",INDIRECT("'"&amp;B103&amp;"'!E"&amp;C103))</f>
        <v>x</v>
      </c>
      <c r="K103" s="253" cm="1">
        <f t="array" aca="1" ref="K103" ca="1">IF(INDIRECT("'"&amp;B103&amp;"'!F"&amp;C103)=0,"N/A",INDIRECT("'"&amp;B103&amp;"'!F"&amp;C103))</f>
        <v>8.1</v>
      </c>
      <c r="L103" s="253" cm="1">
        <f t="array" aca="1" ref="L103" ca="1">IF(INDIRECT("'"&amp;B103&amp;"'!G"&amp;C103)=0,"N/A",INDIRECT("'"&amp;B103&amp;"'!G"&amp;C103))</f>
        <v>4</v>
      </c>
      <c r="M103" s="253" t="str" cm="1">
        <f t="array" aca="1" ref="M103" ca="1">IF(INDIRECT("'"&amp;B103&amp;"'!H"&amp;C103)=0,"N/A",INDIRECT("'"&amp;B103&amp;"'!H"&amp;C103))</f>
        <v>8.1 #4</v>
      </c>
      <c r="N103" s="221" t="str" cm="1">
        <f t="array" aca="1" ref="N103" ca="1">IF(INDIRECT("'"&amp;B103&amp;"'!I"&amp;C103)=0,"N/A",INDIRECT("'"&amp;B103&amp;"'!I"&amp;C103))</f>
        <v>มีการสอบทานการตั้งค่าด้านความมั่นคงปลอดภัยของระบบปฏิบัติการ ระบบฐานข้อมูล และอุปกรณ์เครือข่าย อย่างสม่ำเสมอ และทุกครั้งที่มีการเปลี่ยนแปลงระบบและอุปกรณ์ดังกล่าวอย่างมีนัยสำคัญ เพื่อให้สอดคล้องกับมาตรฐานที่กำหนดไว้</v>
      </c>
      <c r="O103" s="533" t="str" cm="1">
        <f t="array" aca="1" ref="O103" ca="1">IF(INDIRECT("'"&amp;B103&amp;"'!N"&amp;C103)=0,"N/A",INDIRECT("'"&amp;B103&amp;"'!N"&amp;C103))</f>
        <v>Maturity</v>
      </c>
      <c r="P103" s="527" t="str" cm="1">
        <f t="array" aca="1" ref="P103" ca="1">IF(INDIRECT("'"&amp;B103&amp;"'!L"&amp;C103)=0,"",INDIRECT("'"&amp;B103&amp;"'!L"&amp;C103))</f>
        <v/>
      </c>
      <c r="Q103" s="527" t="str">
        <f t="shared" ca="1" si="8"/>
        <v/>
      </c>
      <c r="R103" s="563" t="str">
        <f t="shared" ca="1" si="9"/>
        <v>Yes</v>
      </c>
      <c r="S103" s="528" t="s">
        <v>1594</v>
      </c>
      <c r="T103" s="529" t="str">
        <f t="shared" si="10"/>
        <v/>
      </c>
      <c r="U103" s="529" t="str">
        <f t="shared" si="11"/>
        <v/>
      </c>
      <c r="V103" s="529" t="str">
        <f t="shared" si="12"/>
        <v>X</v>
      </c>
      <c r="W103" s="529" t="str">
        <f t="shared" si="13"/>
        <v>X</v>
      </c>
      <c r="X103" s="529" t="str">
        <f t="shared" si="14"/>
        <v/>
      </c>
      <c r="Y103" s="529" t="str">
        <f t="shared" si="15"/>
        <v/>
      </c>
    </row>
    <row r="104" spans="1:25" ht="25.05" x14ac:dyDescent="0.2">
      <c r="A104" s="253" t="s">
        <v>756</v>
      </c>
      <c r="B104" s="253" t="s">
        <v>1595</v>
      </c>
      <c r="C104" s="253">
        <v>10</v>
      </c>
      <c r="D104" s="253" t="s">
        <v>1579</v>
      </c>
      <c r="E104" s="253" t="s">
        <v>1597</v>
      </c>
      <c r="F104" s="253" t="s">
        <v>1571</v>
      </c>
      <c r="G104" s="215" t="str" cm="1">
        <f t="array" aca="1" ref="G104" ca="1">IF(INDIRECT("'"&amp;B104&amp;"'!B"&amp;C104)=0,"",INDIRECT("'"&amp;B104&amp;"'!B"&amp;C104))</f>
        <v>x</v>
      </c>
      <c r="H104" s="215" t="str" cm="1">
        <f t="array" aca="1" ref="H104" ca="1">IF(INDIRECT("'"&amp;B104&amp;"'!C"&amp;C104)=0,"",INDIRECT("'"&amp;B104&amp;"'!C"&amp;C104))</f>
        <v>x</v>
      </c>
      <c r="I104" s="215" t="str" cm="1">
        <f t="array" aca="1" ref="I104" ca="1">IF(INDIRECT("'"&amp;B104&amp;"'!D"&amp;C104)=0,"",INDIRECT("'"&amp;B104&amp;"'!D"&amp;C104))</f>
        <v>x</v>
      </c>
      <c r="J104" s="215" t="str" cm="1">
        <f t="array" aca="1" ref="J104" ca="1">IF(INDIRECT("'"&amp;B104&amp;"'!E"&amp;C104)=0,"",INDIRECT("'"&amp;B104&amp;"'!E"&amp;C104))</f>
        <v/>
      </c>
      <c r="K104" s="253" cm="1">
        <f t="array" aca="1" ref="K104" ca="1">IF(INDIRECT("'"&amp;B104&amp;"'!F"&amp;C104)=0,"N/A",INDIRECT("'"&amp;B104&amp;"'!F"&amp;C104))</f>
        <v>8.1999999999999993</v>
      </c>
      <c r="L104" s="253" cm="1">
        <f t="array" aca="1" ref="L104" ca="1">IF(INDIRECT("'"&amp;B104&amp;"'!G"&amp;C104)=0,"N/A",INDIRECT("'"&amp;B104&amp;"'!G"&amp;C104))</f>
        <v>1</v>
      </c>
      <c r="M104" s="253" t="str" cm="1">
        <f t="array" aca="1" ref="M104" ca="1">IF(INDIRECT("'"&amp;B104&amp;"'!H"&amp;C104)=0,"N/A",INDIRECT("'"&amp;B104&amp;"'!H"&amp;C104))</f>
        <v>8.2 #1</v>
      </c>
      <c r="N104" s="221" t="str" cm="1">
        <f t="array" aca="1" ref="N104" ca="1">IF(INDIRECT("'"&amp;B104&amp;"'!I"&amp;C104)=0,"N/A",INDIRECT("'"&amp;B104&amp;"'!I"&amp;C104))</f>
        <v xml:space="preserve">มีการกำหนดกระบวนการบริหารจัดการการเปลี่ยนแปลงอย่างเป็นลายลักษณ์อักษรเพื่อควบคุมการเปลี่ยนแปลงโครงสร้างพื้นฐานด้าน IT ระบบ IT และขั้นตอนการปฏิบัติงานที่อาจส่งผลกระทบต่อความมั่นคงปลอดภัย  </v>
      </c>
      <c r="O104" s="533" t="str" cm="1">
        <f t="array" aca="1" ref="O104" ca="1">IF(INDIRECT("'"&amp;B104&amp;"'!N"&amp;C104)=0,"N/A",INDIRECT("'"&amp;B104&amp;"'!N"&amp;C104))</f>
        <v>Yes/Partial/No</v>
      </c>
      <c r="P104" s="527" t="str" cm="1">
        <f t="array" aca="1" ref="P104" ca="1">IF(INDIRECT("'"&amp;B104&amp;"'!L"&amp;C104)=0,"",INDIRECT("'"&amp;B104&amp;"'!L"&amp;C104))</f>
        <v/>
      </c>
      <c r="Q104" s="527" t="str">
        <f t="shared" ca="1" si="8"/>
        <v/>
      </c>
      <c r="R104" s="563" t="str">
        <f t="shared" ca="1" si="9"/>
        <v>Yes</v>
      </c>
      <c r="S104" s="528" t="s">
        <v>1598</v>
      </c>
      <c r="T104" s="529" t="str">
        <f t="shared" si="10"/>
        <v>X</v>
      </c>
      <c r="U104" s="529" t="str">
        <f t="shared" si="11"/>
        <v>X</v>
      </c>
      <c r="V104" s="529" t="str">
        <f t="shared" si="12"/>
        <v/>
      </c>
      <c r="W104" s="529" t="str">
        <f t="shared" si="13"/>
        <v/>
      </c>
      <c r="X104" s="529" t="str">
        <f t="shared" si="14"/>
        <v/>
      </c>
      <c r="Y104" s="529" t="str">
        <f t="shared" si="15"/>
        <v/>
      </c>
    </row>
    <row r="105" spans="1:25" ht="62.65" x14ac:dyDescent="0.2">
      <c r="A105" s="253" t="s">
        <v>760</v>
      </c>
      <c r="B105" s="253" t="s">
        <v>1595</v>
      </c>
      <c r="C105" s="253">
        <v>11</v>
      </c>
      <c r="D105" s="253" t="s">
        <v>1579</v>
      </c>
      <c r="E105" s="253" t="s">
        <v>1597</v>
      </c>
      <c r="F105" s="253" t="s">
        <v>1571</v>
      </c>
      <c r="G105" s="215" t="str" cm="1">
        <f t="array" aca="1" ref="G105" ca="1">IF(INDIRECT("'"&amp;B105&amp;"'!B"&amp;C105)=0,"",INDIRECT("'"&amp;B105&amp;"'!B"&amp;C105))</f>
        <v>x</v>
      </c>
      <c r="H105" s="215" t="str" cm="1">
        <f t="array" aca="1" ref="H105" ca="1">IF(INDIRECT("'"&amp;B105&amp;"'!C"&amp;C105)=0,"",INDIRECT("'"&amp;B105&amp;"'!C"&amp;C105))</f>
        <v>x</v>
      </c>
      <c r="I105" s="215" t="str" cm="1">
        <f t="array" aca="1" ref="I105" ca="1">IF(INDIRECT("'"&amp;B105&amp;"'!D"&amp;C105)=0,"",INDIRECT("'"&amp;B105&amp;"'!D"&amp;C105))</f>
        <v>x</v>
      </c>
      <c r="J105" s="215" t="str" cm="1">
        <f t="array" aca="1" ref="J105" ca="1">IF(INDIRECT("'"&amp;B105&amp;"'!E"&amp;C105)=0,"",INDIRECT("'"&amp;B105&amp;"'!E"&amp;C105))</f>
        <v/>
      </c>
      <c r="K105" s="253" cm="1">
        <f t="array" aca="1" ref="K105" ca="1">IF(INDIRECT("'"&amp;B105&amp;"'!F"&amp;C105)=0,"N/A",INDIRECT("'"&amp;B105&amp;"'!F"&amp;C105))</f>
        <v>8.1999999999999993</v>
      </c>
      <c r="L105" s="253" cm="1">
        <f t="array" aca="1" ref="L105" ca="1">IF(INDIRECT("'"&amp;B105&amp;"'!G"&amp;C105)=0,"N/A",INDIRECT("'"&amp;B105&amp;"'!G"&amp;C105))</f>
        <v>2</v>
      </c>
      <c r="M105" s="253" t="str" cm="1">
        <f t="array" aca="1" ref="M105" ca="1">IF(INDIRECT("'"&amp;B105&amp;"'!H"&amp;C105)=0,"N/A",INDIRECT("'"&amp;B105&amp;"'!H"&amp;C105))</f>
        <v>8.2 #2</v>
      </c>
      <c r="N105" s="221" t="str" cm="1">
        <f t="array" aca="1" ref="N105" ca="1">IF(INDIRECT("'"&amp;B105&amp;"'!I"&amp;C105)=0,"N/A",INDIRECT("'"&amp;B105&amp;"'!I"&amp;C105))</f>
        <v>มีการกำหนดหลักเกณฑ์การจัดประเภทการเปลี่ยนแปลงตามระดับความสำคัญหรือความจำเป็นเร่งด่วน และกำหนดขั้นตอนในการเปลี่ยนแปลงแต่ละประเภทเช่น  
    (1) การเปลี่ยนแปลงมาตรฐานที่ได้รับอนุมัติเป็นการทั่วไป (standard change)
    (2) การเปลี่ยนแปลงที่ต้องขออนุมัติตามกระบวนการปกติ (normal change)
    (3) การเปลี่ยนแปลงที่ต้องดำเนินการอย่างเร่งด่วน (emergency change)</v>
      </c>
      <c r="O105" s="533" t="str" cm="1">
        <f t="array" aca="1" ref="O105" ca="1">IF(INDIRECT("'"&amp;B105&amp;"'!N"&amp;C105)=0,"N/A",INDIRECT("'"&amp;B105&amp;"'!N"&amp;C105))</f>
        <v>Yes/Partial/No</v>
      </c>
      <c r="P105" s="527" t="str" cm="1">
        <f t="array" aca="1" ref="P105" ca="1">IF(INDIRECT("'"&amp;B105&amp;"'!L"&amp;C105)=0,"",INDIRECT("'"&amp;B105&amp;"'!L"&amp;C105))</f>
        <v/>
      </c>
      <c r="Q105" s="527" t="str">
        <f t="shared" ca="1" si="8"/>
        <v/>
      </c>
      <c r="R105" s="563" t="str">
        <f t="shared" ca="1" si="9"/>
        <v>Yes</v>
      </c>
      <c r="S105" s="528" t="s">
        <v>1598</v>
      </c>
      <c r="T105" s="529" t="str">
        <f t="shared" si="10"/>
        <v>X</v>
      </c>
      <c r="U105" s="529" t="str">
        <f t="shared" si="11"/>
        <v>X</v>
      </c>
      <c r="V105" s="529" t="str">
        <f t="shared" si="12"/>
        <v/>
      </c>
      <c r="W105" s="529" t="str">
        <f t="shared" si="13"/>
        <v/>
      </c>
      <c r="X105" s="529" t="str">
        <f t="shared" si="14"/>
        <v/>
      </c>
      <c r="Y105" s="529" t="str">
        <f t="shared" si="15"/>
        <v/>
      </c>
    </row>
    <row r="106" spans="1:25" x14ac:dyDescent="0.2">
      <c r="A106" s="253" t="s">
        <v>764</v>
      </c>
      <c r="B106" s="253" t="s">
        <v>1595</v>
      </c>
      <c r="C106" s="253">
        <v>12</v>
      </c>
      <c r="D106" s="253" t="s">
        <v>1579</v>
      </c>
      <c r="E106" s="253" t="s">
        <v>1597</v>
      </c>
      <c r="F106" s="253" t="s">
        <v>1571</v>
      </c>
      <c r="G106" s="215" t="str" cm="1">
        <f t="array" aca="1" ref="G106" ca="1">IF(INDIRECT("'"&amp;B106&amp;"'!B"&amp;C106)=0,"",INDIRECT("'"&amp;B106&amp;"'!B"&amp;C106))</f>
        <v>x</v>
      </c>
      <c r="H106" s="215" t="str" cm="1">
        <f t="array" aca="1" ref="H106" ca="1">IF(INDIRECT("'"&amp;B106&amp;"'!C"&amp;C106)=0,"",INDIRECT("'"&amp;B106&amp;"'!C"&amp;C106))</f>
        <v>x</v>
      </c>
      <c r="I106" s="215" t="str" cm="1">
        <f t="array" aca="1" ref="I106" ca="1">IF(INDIRECT("'"&amp;B106&amp;"'!D"&amp;C106)=0,"",INDIRECT("'"&amp;B106&amp;"'!D"&amp;C106))</f>
        <v>x</v>
      </c>
      <c r="J106" s="215" t="str" cm="1">
        <f t="array" aca="1" ref="J106" ca="1">IF(INDIRECT("'"&amp;B106&amp;"'!E"&amp;C106)=0,"",INDIRECT("'"&amp;B106&amp;"'!E"&amp;C106))</f>
        <v/>
      </c>
      <c r="K106" s="253" cm="1">
        <f t="array" aca="1" ref="K106" ca="1">IF(INDIRECT("'"&amp;B106&amp;"'!F"&amp;C106)=0,"N/A",INDIRECT("'"&amp;B106&amp;"'!F"&amp;C106))</f>
        <v>8.1999999999999993</v>
      </c>
      <c r="L106" s="253" cm="1">
        <f t="array" aca="1" ref="L106" ca="1">IF(INDIRECT("'"&amp;B106&amp;"'!G"&amp;C106)=0,"N/A",INDIRECT("'"&amp;B106&amp;"'!G"&amp;C106))</f>
        <v>3</v>
      </c>
      <c r="M106" s="253" t="str" cm="1">
        <f t="array" aca="1" ref="M106" ca="1">IF(INDIRECT("'"&amp;B106&amp;"'!H"&amp;C106)=0,"N/A",INDIRECT("'"&amp;B106&amp;"'!H"&amp;C106))</f>
        <v>8.2 #3</v>
      </c>
      <c r="N106" s="221" t="str" cm="1">
        <f t="array" aca="1" ref="N106" ca="1">IF(INDIRECT("'"&amp;B106&amp;"'!I"&amp;C106)=0,"N/A",INDIRECT("'"&amp;B106&amp;"'!I"&amp;C106))</f>
        <v>มีการกำหนดคณะกรรมการหรือผู้บริหารที่ทำหน้าที่อนุมัติการเปลี่ยนแปลงแต่ละประเภท</v>
      </c>
      <c r="O106" s="533" t="str" cm="1">
        <f t="array" aca="1" ref="O106" ca="1">IF(INDIRECT("'"&amp;B106&amp;"'!N"&amp;C106)=0,"N/A",INDIRECT("'"&amp;B106&amp;"'!N"&amp;C106))</f>
        <v>Yes/Partial/No</v>
      </c>
      <c r="P106" s="527" t="str" cm="1">
        <f t="array" aca="1" ref="P106" ca="1">IF(INDIRECT("'"&amp;B106&amp;"'!L"&amp;C106)=0,"",INDIRECT("'"&amp;B106&amp;"'!L"&amp;C106))</f>
        <v/>
      </c>
      <c r="Q106" s="527" t="str">
        <f t="shared" ca="1" si="8"/>
        <v/>
      </c>
      <c r="R106" s="563" t="str">
        <f t="shared" ca="1" si="9"/>
        <v>Yes</v>
      </c>
      <c r="S106" s="528" t="s">
        <v>1572</v>
      </c>
      <c r="T106" s="529" t="str">
        <f t="shared" si="10"/>
        <v>X</v>
      </c>
      <c r="U106" s="529" t="str">
        <f t="shared" si="11"/>
        <v/>
      </c>
      <c r="V106" s="529" t="str">
        <f t="shared" si="12"/>
        <v/>
      </c>
      <c r="W106" s="529" t="str">
        <f t="shared" si="13"/>
        <v/>
      </c>
      <c r="X106" s="529" t="str">
        <f t="shared" si="14"/>
        <v/>
      </c>
      <c r="Y106" s="529" t="str">
        <f t="shared" si="15"/>
        <v/>
      </c>
    </row>
    <row r="107" spans="1:25" ht="37.6" x14ac:dyDescent="0.2">
      <c r="A107" s="253" t="s">
        <v>768</v>
      </c>
      <c r="B107" s="253" t="s">
        <v>1595</v>
      </c>
      <c r="C107" s="253">
        <v>13</v>
      </c>
      <c r="D107" s="253" t="s">
        <v>1579</v>
      </c>
      <c r="E107" s="253" t="s">
        <v>1597</v>
      </c>
      <c r="F107" s="253" t="s">
        <v>1571</v>
      </c>
      <c r="G107" s="215" t="str" cm="1">
        <f t="array" aca="1" ref="G107" ca="1">IF(INDIRECT("'"&amp;B107&amp;"'!B"&amp;C107)=0,"",INDIRECT("'"&amp;B107&amp;"'!B"&amp;C107))</f>
        <v>x</v>
      </c>
      <c r="H107" s="215" t="str" cm="1">
        <f t="array" aca="1" ref="H107" ca="1">IF(INDIRECT("'"&amp;B107&amp;"'!C"&amp;C107)=0,"",INDIRECT("'"&amp;B107&amp;"'!C"&amp;C107))</f>
        <v>x</v>
      </c>
      <c r="I107" s="215" t="str" cm="1">
        <f t="array" aca="1" ref="I107" ca="1">IF(INDIRECT("'"&amp;B107&amp;"'!D"&amp;C107)=0,"",INDIRECT("'"&amp;B107&amp;"'!D"&amp;C107))</f>
        <v>x</v>
      </c>
      <c r="J107" s="215" t="str" cm="1">
        <f t="array" aca="1" ref="J107" ca="1">IF(INDIRECT("'"&amp;B107&amp;"'!E"&amp;C107)=0,"",INDIRECT("'"&amp;B107&amp;"'!E"&amp;C107))</f>
        <v/>
      </c>
      <c r="K107" s="253" cm="1">
        <f t="array" aca="1" ref="K107" ca="1">IF(INDIRECT("'"&amp;B107&amp;"'!F"&amp;C107)=0,"N/A",INDIRECT("'"&amp;B107&amp;"'!F"&amp;C107))</f>
        <v>8.1999999999999993</v>
      </c>
      <c r="L107" s="253" cm="1">
        <f t="array" aca="1" ref="L107" ca="1">IF(INDIRECT("'"&amp;B107&amp;"'!G"&amp;C107)=0,"N/A",INDIRECT("'"&amp;B107&amp;"'!G"&amp;C107))</f>
        <v>4</v>
      </c>
      <c r="M107" s="253" t="str" cm="1">
        <f t="array" aca="1" ref="M107" ca="1">IF(INDIRECT("'"&amp;B107&amp;"'!H"&amp;C107)=0,"N/A",INDIRECT("'"&amp;B107&amp;"'!H"&amp;C107))</f>
        <v>8.2 #4</v>
      </c>
      <c r="N107" s="221" t="str" cm="1">
        <f t="array" aca="1" ref="N107" ca="1">IF(INDIRECT("'"&amp;B107&amp;"'!I"&amp;C107)=0,"N/A",INDIRECT("'"&amp;B107&amp;"'!I"&amp;C107))</f>
        <v>มีการแบ่งแยกหน้าที่ (segregation of duties) ผู้ที่เกี่ยวข้องในกระบวนการการเปลี่ยนแปลง เพื่อไม่ให้บุคคลใดบุคคลหนึ่งสามารถปฏิบัติงานได้ตั้งแต่เริ่มต้นจนจบกระบวนการการเปลี่ยนแปลง เช่น ผู้มีสิทธิร้องขอ ผู้ที่มีอำนาจในการอนุมัติการเปลี่ยนแปลง ผู้ที่สามารถดำเนินการเปลี่ยนแปลงระบบ เป็นต้น</v>
      </c>
      <c r="O107" s="533" t="str" cm="1">
        <f t="array" aca="1" ref="O107" ca="1">IF(INDIRECT("'"&amp;B107&amp;"'!N"&amp;C107)=0,"N/A",INDIRECT("'"&amp;B107&amp;"'!N"&amp;C107))</f>
        <v>Yes/Partial/No</v>
      </c>
      <c r="P107" s="527" t="str" cm="1">
        <f t="array" aca="1" ref="P107" ca="1">IF(INDIRECT("'"&amp;B107&amp;"'!L"&amp;C107)=0,"",INDIRECT("'"&amp;B107&amp;"'!L"&amp;C107))</f>
        <v/>
      </c>
      <c r="Q107" s="527" t="str">
        <f t="shared" ca="1" si="8"/>
        <v/>
      </c>
      <c r="R107" s="563" t="str">
        <f t="shared" ca="1" si="9"/>
        <v>Yes</v>
      </c>
      <c r="S107" s="528" t="s">
        <v>1580</v>
      </c>
      <c r="T107" s="529" t="str">
        <f t="shared" si="10"/>
        <v/>
      </c>
      <c r="U107" s="529" t="str">
        <f t="shared" si="11"/>
        <v/>
      </c>
      <c r="V107" s="529" t="str">
        <f t="shared" si="12"/>
        <v>X</v>
      </c>
      <c r="W107" s="529" t="str">
        <f t="shared" si="13"/>
        <v/>
      </c>
      <c r="X107" s="529" t="str">
        <f t="shared" si="14"/>
        <v/>
      </c>
      <c r="Y107" s="529" t="str">
        <f t="shared" si="15"/>
        <v/>
      </c>
    </row>
    <row r="108" spans="1:25" ht="50.1" x14ac:dyDescent="0.2">
      <c r="A108" s="253" t="s">
        <v>772</v>
      </c>
      <c r="B108" s="253" t="s">
        <v>1595</v>
      </c>
      <c r="C108" s="253">
        <v>14</v>
      </c>
      <c r="D108" s="253" t="s">
        <v>1579</v>
      </c>
      <c r="E108" s="253" t="s">
        <v>1597</v>
      </c>
      <c r="F108" s="253" t="s">
        <v>1571</v>
      </c>
      <c r="G108" s="215" t="str" cm="1">
        <f t="array" aca="1" ref="G108" ca="1">IF(INDIRECT("'"&amp;B108&amp;"'!B"&amp;C108)=0,"",INDIRECT("'"&amp;B108&amp;"'!B"&amp;C108))</f>
        <v>x</v>
      </c>
      <c r="H108" s="215" t="str" cm="1">
        <f t="array" aca="1" ref="H108" ca="1">IF(INDIRECT("'"&amp;B108&amp;"'!C"&amp;C108)=0,"",INDIRECT("'"&amp;B108&amp;"'!C"&amp;C108))</f>
        <v>x</v>
      </c>
      <c r="I108" s="215" t="str" cm="1">
        <f t="array" aca="1" ref="I108" ca="1">IF(INDIRECT("'"&amp;B108&amp;"'!D"&amp;C108)=0,"",INDIRECT("'"&amp;B108&amp;"'!D"&amp;C108))</f>
        <v>x</v>
      </c>
      <c r="J108" s="215" t="str" cm="1">
        <f t="array" aca="1" ref="J108" ca="1">IF(INDIRECT("'"&amp;B108&amp;"'!E"&amp;C108)=0,"",INDIRECT("'"&amp;B108&amp;"'!E"&amp;C108))</f>
        <v/>
      </c>
      <c r="K108" s="253" cm="1">
        <f t="array" aca="1" ref="K108" ca="1">IF(INDIRECT("'"&amp;B108&amp;"'!F"&amp;C108)=0,"N/A",INDIRECT("'"&amp;B108&amp;"'!F"&amp;C108))</f>
        <v>8.1999999999999993</v>
      </c>
      <c r="L108" s="253" cm="1">
        <f t="array" aca="1" ref="L108" ca="1">IF(INDIRECT("'"&amp;B108&amp;"'!G"&amp;C108)=0,"N/A",INDIRECT("'"&amp;B108&amp;"'!G"&amp;C108))</f>
        <v>5</v>
      </c>
      <c r="M108" s="253" t="str" cm="1">
        <f t="array" aca="1" ref="M108" ca="1">IF(INDIRECT("'"&amp;B108&amp;"'!H"&amp;C108)=0,"N/A",INDIRECT("'"&amp;B108&amp;"'!H"&amp;C108))</f>
        <v>8.2 #5</v>
      </c>
      <c r="N108" s="221" t="str" cm="1">
        <f t="array" aca="1" ref="N108" ca="1">IF(INDIRECT("'"&amp;B108&amp;"'!I"&amp;C108)=0,"N/A",INDIRECT("'"&amp;B108&amp;"'!I"&amp;C108))</f>
        <v>จัดให้มีคำขอการเปลี่ยนแปลง (change request) และการอนุมัติการเปลี่ยนแปลงอย่างเป็นลายลักษณ์อักษร เพื่อเป็นหลักฐานแสดงให้เห็นว่าการเปลี่ยนแปลงได้ผ่านการพิจารณาจากเจ้าของข้อมูล เจ้าของระบบ หรือผู้มีอำนาจตามสิทธิที่กำหนดไว้ โดยคำขอการเปลี่ยนแปลงควรระบุเหตุผลความจำเป็นและผลกระทบที่อาจเกิดขึ้นจากการเปลี่ยนแปลง</v>
      </c>
      <c r="O108" s="533" t="str" cm="1">
        <f t="array" aca="1" ref="O108" ca="1">IF(INDIRECT("'"&amp;B108&amp;"'!N"&amp;C108)=0,"N/A",INDIRECT("'"&amp;B108&amp;"'!N"&amp;C108))</f>
        <v>Yes/Partial/No</v>
      </c>
      <c r="P108" s="527" t="str" cm="1">
        <f t="array" aca="1" ref="P108" ca="1">IF(INDIRECT("'"&amp;B108&amp;"'!L"&amp;C108)=0,"",INDIRECT("'"&amp;B108&amp;"'!L"&amp;C108))</f>
        <v/>
      </c>
      <c r="Q108" s="527" t="str">
        <f t="shared" ca="1" si="8"/>
        <v/>
      </c>
      <c r="R108" s="563" t="str">
        <f t="shared" ca="1" si="9"/>
        <v>Yes</v>
      </c>
      <c r="S108" s="528" t="s">
        <v>1577</v>
      </c>
      <c r="T108" s="529" t="str">
        <f t="shared" si="10"/>
        <v/>
      </c>
      <c r="U108" s="529" t="str">
        <f t="shared" si="11"/>
        <v>X</v>
      </c>
      <c r="V108" s="529" t="str">
        <f t="shared" si="12"/>
        <v/>
      </c>
      <c r="W108" s="529" t="str">
        <f t="shared" si="13"/>
        <v/>
      </c>
      <c r="X108" s="529" t="str">
        <f t="shared" si="14"/>
        <v/>
      </c>
      <c r="Y108" s="529" t="str">
        <f t="shared" si="15"/>
        <v/>
      </c>
    </row>
    <row r="109" spans="1:25" ht="25.05" x14ac:dyDescent="0.2">
      <c r="A109" s="253" t="s">
        <v>776</v>
      </c>
      <c r="B109" s="253" t="s">
        <v>1595</v>
      </c>
      <c r="C109" s="253">
        <v>15</v>
      </c>
      <c r="D109" s="253" t="s">
        <v>1579</v>
      </c>
      <c r="E109" s="253" t="s">
        <v>1597</v>
      </c>
      <c r="F109" s="253" t="s">
        <v>1571</v>
      </c>
      <c r="G109" s="215" t="str" cm="1">
        <f t="array" aca="1" ref="G109" ca="1">IF(INDIRECT("'"&amp;B109&amp;"'!B"&amp;C109)=0,"",INDIRECT("'"&amp;B109&amp;"'!B"&amp;C109))</f>
        <v>x</v>
      </c>
      <c r="H109" s="215" t="str" cm="1">
        <f t="array" aca="1" ref="H109" ca="1">IF(INDIRECT("'"&amp;B109&amp;"'!C"&amp;C109)=0,"",INDIRECT("'"&amp;B109&amp;"'!C"&amp;C109))</f>
        <v>x</v>
      </c>
      <c r="I109" s="215" t="str" cm="1">
        <f t="array" aca="1" ref="I109" ca="1">IF(INDIRECT("'"&amp;B109&amp;"'!D"&amp;C109)=0,"",INDIRECT("'"&amp;B109&amp;"'!D"&amp;C109))</f>
        <v>x</v>
      </c>
      <c r="J109" s="215" t="str" cm="1">
        <f t="array" aca="1" ref="J109" ca="1">IF(INDIRECT("'"&amp;B109&amp;"'!E"&amp;C109)=0,"",INDIRECT("'"&amp;B109&amp;"'!E"&amp;C109))</f>
        <v/>
      </c>
      <c r="K109" s="253" cm="1">
        <f t="array" aca="1" ref="K109" ca="1">IF(INDIRECT("'"&amp;B109&amp;"'!F"&amp;C109)=0,"N/A",INDIRECT("'"&amp;B109&amp;"'!F"&amp;C109))</f>
        <v>8.1999999999999993</v>
      </c>
      <c r="L109" s="253" cm="1">
        <f t="array" aca="1" ref="L109" ca="1">IF(INDIRECT("'"&amp;B109&amp;"'!G"&amp;C109)=0,"N/A",INDIRECT("'"&amp;B109&amp;"'!G"&amp;C109))</f>
        <v>6</v>
      </c>
      <c r="M109" s="253" t="str" cm="1">
        <f t="array" aca="1" ref="M109" ca="1">IF(INDIRECT("'"&amp;B109&amp;"'!H"&amp;C109)=0,"N/A",INDIRECT("'"&amp;B109&amp;"'!H"&amp;C109))</f>
        <v>8.2 #6</v>
      </c>
      <c r="N109" s="221" t="str" cm="1">
        <f t="array" aca="1" ref="N109" ca="1">IF(INDIRECT("'"&amp;B109&amp;"'!I"&amp;C109)=0,"N/A",INDIRECT("'"&amp;B109&amp;"'!I"&amp;C109))</f>
        <v>จัดให้มีระบบหรือทะเบียนในการจัดเก็บคำขอเปลี่ยนแปลงและเอกสารรายละเอียดที่เกี่ยวข้อง เพื่อใช้ควบคุมการปฏิบัติงานตั้งแต่ต้นจนจบกระบวนการ และสามารถใช้ในการติดตามและสอบทานการปฏิบัติงาน</v>
      </c>
      <c r="O109" s="533" t="str" cm="1">
        <f t="array" aca="1" ref="O109" ca="1">IF(INDIRECT("'"&amp;B109&amp;"'!N"&amp;C109)=0,"N/A",INDIRECT("'"&amp;B109&amp;"'!N"&amp;C109))</f>
        <v>Yes/Partial/No</v>
      </c>
      <c r="P109" s="527" t="str" cm="1">
        <f t="array" aca="1" ref="P109" ca="1">IF(INDIRECT("'"&amp;B109&amp;"'!L"&amp;C109)=0,"",INDIRECT("'"&amp;B109&amp;"'!L"&amp;C109))</f>
        <v/>
      </c>
      <c r="Q109" s="527" t="str">
        <f t="shared" ca="1" si="8"/>
        <v/>
      </c>
      <c r="R109" s="563" t="str">
        <f t="shared" ca="1" si="9"/>
        <v>Yes</v>
      </c>
      <c r="S109" s="528" t="s">
        <v>1585</v>
      </c>
      <c r="T109" s="529" t="str">
        <f t="shared" si="10"/>
        <v/>
      </c>
      <c r="U109" s="529" t="str">
        <f t="shared" si="11"/>
        <v>X</v>
      </c>
      <c r="V109" s="529" t="str">
        <f t="shared" si="12"/>
        <v/>
      </c>
      <c r="W109" s="529" t="str">
        <f t="shared" si="13"/>
        <v/>
      </c>
      <c r="X109" s="529" t="str">
        <f t="shared" si="14"/>
        <v/>
      </c>
      <c r="Y109" s="529" t="str">
        <f t="shared" si="15"/>
        <v/>
      </c>
    </row>
    <row r="110" spans="1:25" ht="25.05" x14ac:dyDescent="0.2">
      <c r="A110" s="253" t="s">
        <v>780</v>
      </c>
      <c r="B110" s="253" t="s">
        <v>1595</v>
      </c>
      <c r="C110" s="253">
        <v>16</v>
      </c>
      <c r="D110" s="253" t="s">
        <v>1579</v>
      </c>
      <c r="E110" s="253" t="s">
        <v>1597</v>
      </c>
      <c r="F110" s="253" t="s">
        <v>1571</v>
      </c>
      <c r="G110" s="215" t="str" cm="1">
        <f t="array" aca="1" ref="G110" ca="1">IF(INDIRECT("'"&amp;B110&amp;"'!B"&amp;C110)=0,"",INDIRECT("'"&amp;B110&amp;"'!B"&amp;C110))</f>
        <v>x</v>
      </c>
      <c r="H110" s="215" t="str" cm="1">
        <f t="array" aca="1" ref="H110" ca="1">IF(INDIRECT("'"&amp;B110&amp;"'!C"&amp;C110)=0,"",INDIRECT("'"&amp;B110&amp;"'!C"&amp;C110))</f>
        <v>x</v>
      </c>
      <c r="I110" s="215" t="str" cm="1">
        <f t="array" aca="1" ref="I110" ca="1">IF(INDIRECT("'"&amp;B110&amp;"'!D"&amp;C110)=0,"",INDIRECT("'"&amp;B110&amp;"'!D"&amp;C110))</f>
        <v>x</v>
      </c>
      <c r="J110" s="215" t="str" cm="1">
        <f t="array" aca="1" ref="J110" ca="1">IF(INDIRECT("'"&amp;B110&amp;"'!E"&amp;C110)=0,"",INDIRECT("'"&amp;B110&amp;"'!E"&amp;C110))</f>
        <v/>
      </c>
      <c r="K110" s="253" cm="1">
        <f t="array" aca="1" ref="K110" ca="1">IF(INDIRECT("'"&amp;B110&amp;"'!F"&amp;C110)=0,"N/A",INDIRECT("'"&amp;B110&amp;"'!F"&amp;C110))</f>
        <v>8.1999999999999993</v>
      </c>
      <c r="L110" s="253" cm="1">
        <f t="array" aca="1" ref="L110" ca="1">IF(INDIRECT("'"&amp;B110&amp;"'!G"&amp;C110)=0,"N/A",INDIRECT("'"&amp;B110&amp;"'!G"&amp;C110))</f>
        <v>7</v>
      </c>
      <c r="M110" s="253" t="str" cm="1">
        <f t="array" aca="1" ref="M110" ca="1">IF(INDIRECT("'"&amp;B110&amp;"'!H"&amp;C110)=0,"N/A",INDIRECT("'"&amp;B110&amp;"'!H"&amp;C110))</f>
        <v>8.2 #7</v>
      </c>
      <c r="N110" s="221" t="str" cm="1">
        <f t="array" aca="1" ref="N110" ca="1">IF(INDIRECT("'"&amp;B110&amp;"'!I"&amp;C110)=0,"N/A",INDIRECT("'"&amp;B110&amp;"'!I"&amp;C110))</f>
        <v>กรณีที่การเปลี่ยนแปลงส่งผลกระทบต่อการปฏิบัติงาน ควรมีการสื่อสารให้ผู้เกี่ยวข้องรับทราบการเปลี่ยนแปลงเพื่อให้สามารถปฏิบัติงานได้อย่างถูกต้อง</v>
      </c>
      <c r="O110" s="533" t="str" cm="1">
        <f t="array" aca="1" ref="O110" ca="1">IF(INDIRECT("'"&amp;B110&amp;"'!N"&amp;C110)=0,"N/A",INDIRECT("'"&amp;B110&amp;"'!N"&amp;C110))</f>
        <v>Yes/Partial/No</v>
      </c>
      <c r="P110" s="527" t="str" cm="1">
        <f t="array" aca="1" ref="P110" ca="1">IF(INDIRECT("'"&amp;B110&amp;"'!L"&amp;C110)=0,"",INDIRECT("'"&amp;B110&amp;"'!L"&amp;C110))</f>
        <v/>
      </c>
      <c r="Q110" s="527" t="str">
        <f t="shared" ca="1" si="8"/>
        <v/>
      </c>
      <c r="R110" s="563" t="str">
        <f t="shared" ca="1" si="9"/>
        <v>Yes</v>
      </c>
      <c r="S110" s="528" t="s">
        <v>1572</v>
      </c>
      <c r="T110" s="529" t="str">
        <f t="shared" si="10"/>
        <v>X</v>
      </c>
      <c r="U110" s="529" t="str">
        <f t="shared" si="11"/>
        <v/>
      </c>
      <c r="V110" s="529" t="str">
        <f t="shared" si="12"/>
        <v/>
      </c>
      <c r="W110" s="529" t="str">
        <f t="shared" si="13"/>
        <v/>
      </c>
      <c r="X110" s="529" t="str">
        <f t="shared" si="14"/>
        <v/>
      </c>
      <c r="Y110" s="529" t="str">
        <f t="shared" si="15"/>
        <v/>
      </c>
    </row>
    <row r="111" spans="1:25" ht="25.05" x14ac:dyDescent="0.2">
      <c r="A111" s="253" t="s">
        <v>784</v>
      </c>
      <c r="B111" s="253" t="s">
        <v>1595</v>
      </c>
      <c r="C111" s="253">
        <v>17</v>
      </c>
      <c r="D111" s="253" t="s">
        <v>1579</v>
      </c>
      <c r="E111" s="253" t="s">
        <v>1597</v>
      </c>
      <c r="F111" s="253" t="s">
        <v>1571</v>
      </c>
      <c r="G111" s="215" t="str" cm="1">
        <f t="array" aca="1" ref="G111" ca="1">IF(INDIRECT("'"&amp;B111&amp;"'!B"&amp;C111)=0,"",INDIRECT("'"&amp;B111&amp;"'!B"&amp;C111))</f>
        <v>x</v>
      </c>
      <c r="H111" s="215" t="str" cm="1">
        <f t="array" aca="1" ref="H111" ca="1">IF(INDIRECT("'"&amp;B111&amp;"'!C"&amp;C111)=0,"",INDIRECT("'"&amp;B111&amp;"'!C"&amp;C111))</f>
        <v>x</v>
      </c>
      <c r="I111" s="215" t="str" cm="1">
        <f t="array" aca="1" ref="I111" ca="1">IF(INDIRECT("'"&amp;B111&amp;"'!D"&amp;C111)=0,"",INDIRECT("'"&amp;B111&amp;"'!D"&amp;C111))</f>
        <v>x</v>
      </c>
      <c r="J111" s="215" t="str" cm="1">
        <f t="array" aca="1" ref="J111" ca="1">IF(INDIRECT("'"&amp;B111&amp;"'!E"&amp;C111)=0,"",INDIRECT("'"&amp;B111&amp;"'!E"&amp;C111))</f>
        <v/>
      </c>
      <c r="K111" s="253" cm="1">
        <f t="array" aca="1" ref="K111" ca="1">IF(INDIRECT("'"&amp;B111&amp;"'!F"&amp;C111)=0,"N/A",INDIRECT("'"&amp;B111&amp;"'!F"&amp;C111))</f>
        <v>8.1999999999999993</v>
      </c>
      <c r="L111" s="253" cm="1">
        <f t="array" aca="1" ref="L111" ca="1">IF(INDIRECT("'"&amp;B111&amp;"'!G"&amp;C111)=0,"N/A",INDIRECT("'"&amp;B111&amp;"'!G"&amp;C111))</f>
        <v>8</v>
      </c>
      <c r="M111" s="253" t="str" cm="1">
        <f t="array" aca="1" ref="M111" ca="1">IF(INDIRECT("'"&amp;B111&amp;"'!H"&amp;C111)=0,"N/A",INDIRECT("'"&amp;B111&amp;"'!H"&amp;C111))</f>
        <v>8.2 #8</v>
      </c>
      <c r="N111" s="221" t="str" cm="1">
        <f t="array" aca="1" ref="N111" ca="1">IF(INDIRECT("'"&amp;B111&amp;"'!I"&amp;C111)=0,"N/A",INDIRECT("'"&amp;B111&amp;"'!I"&amp;C111))</f>
        <v>จัดให้มีแผนการถอยกลับสู่สภาพเดิม (Rollback plan) หากเกิดข้อผิดพลาดจากการเปลี่ยนแปลง เช่น การจัดเก็บเวอร์ชันของระบบก่อนการเปลี่ยนแปลงไว้ เป็นต้น</v>
      </c>
      <c r="O111" s="533" t="str" cm="1">
        <f t="array" aca="1" ref="O111" ca="1">IF(INDIRECT("'"&amp;B111&amp;"'!N"&amp;C111)=0,"N/A",INDIRECT("'"&amp;B111&amp;"'!N"&amp;C111))</f>
        <v>Yes/Partial/No</v>
      </c>
      <c r="P111" s="527" t="str" cm="1">
        <f t="array" aca="1" ref="P111" ca="1">IF(INDIRECT("'"&amp;B111&amp;"'!L"&amp;C111)=0,"",INDIRECT("'"&amp;B111&amp;"'!L"&amp;C111))</f>
        <v/>
      </c>
      <c r="Q111" s="527" t="str">
        <f t="shared" ca="1" si="8"/>
        <v/>
      </c>
      <c r="R111" s="563" t="str">
        <f t="shared" ca="1" si="9"/>
        <v>Yes</v>
      </c>
      <c r="S111" s="528" t="s">
        <v>1577</v>
      </c>
      <c r="T111" s="529" t="str">
        <f t="shared" si="10"/>
        <v/>
      </c>
      <c r="U111" s="529" t="str">
        <f t="shared" si="11"/>
        <v>X</v>
      </c>
      <c r="V111" s="529" t="str">
        <f t="shared" si="12"/>
        <v/>
      </c>
      <c r="W111" s="529" t="str">
        <f t="shared" si="13"/>
        <v/>
      </c>
      <c r="X111" s="529" t="str">
        <f t="shared" si="14"/>
        <v/>
      </c>
      <c r="Y111" s="529" t="str">
        <f t="shared" si="15"/>
        <v/>
      </c>
    </row>
    <row r="112" spans="1:25" ht="50.1" x14ac:dyDescent="0.2">
      <c r="A112" s="253" t="s">
        <v>788</v>
      </c>
      <c r="B112" s="253" t="s">
        <v>1595</v>
      </c>
      <c r="C112" s="253">
        <v>18</v>
      </c>
      <c r="D112" s="253" t="s">
        <v>1579</v>
      </c>
      <c r="E112" s="253" t="s">
        <v>1597</v>
      </c>
      <c r="F112" s="253" t="s">
        <v>1571</v>
      </c>
      <c r="G112" s="215" t="str" cm="1">
        <f t="array" aca="1" ref="G112" ca="1">IF(INDIRECT("'"&amp;B112&amp;"'!B"&amp;C112)=0,"",INDIRECT("'"&amp;B112&amp;"'!B"&amp;C112))</f>
        <v>x</v>
      </c>
      <c r="H112" s="215" t="str" cm="1">
        <f t="array" aca="1" ref="H112" ca="1">IF(INDIRECT("'"&amp;B112&amp;"'!C"&amp;C112)=0,"",INDIRECT("'"&amp;B112&amp;"'!C"&amp;C112))</f>
        <v>x</v>
      </c>
      <c r="I112" s="215" t="str" cm="1">
        <f t="array" aca="1" ref="I112" ca="1">IF(INDIRECT("'"&amp;B112&amp;"'!D"&amp;C112)=0,"",INDIRECT("'"&amp;B112&amp;"'!D"&amp;C112))</f>
        <v>x</v>
      </c>
      <c r="J112" s="215" t="str" cm="1">
        <f t="array" aca="1" ref="J112" ca="1">IF(INDIRECT("'"&amp;B112&amp;"'!E"&amp;C112)=0,"",INDIRECT("'"&amp;B112&amp;"'!E"&amp;C112))</f>
        <v/>
      </c>
      <c r="K112" s="253" cm="1">
        <f t="array" aca="1" ref="K112" ca="1">IF(INDIRECT("'"&amp;B112&amp;"'!F"&amp;C112)=0,"N/A",INDIRECT("'"&amp;B112&amp;"'!F"&amp;C112))</f>
        <v>8.1999999999999993</v>
      </c>
      <c r="L112" s="253" cm="1">
        <f t="array" aca="1" ref="L112" ca="1">IF(INDIRECT("'"&amp;B112&amp;"'!G"&amp;C112)=0,"N/A",INDIRECT("'"&amp;B112&amp;"'!G"&amp;C112))</f>
        <v>9</v>
      </c>
      <c r="M112" s="253" t="str" cm="1">
        <f t="array" aca="1" ref="M112" ca="1">IF(INDIRECT("'"&amp;B112&amp;"'!H"&amp;C112)=0,"N/A",INDIRECT("'"&amp;B112&amp;"'!H"&amp;C112))</f>
        <v>8.2 #9</v>
      </c>
      <c r="N112" s="221" t="str" cm="1">
        <f t="array" aca="1" ref="N112" ca="1">IF(INDIRECT("'"&amp;B112&amp;"'!I"&amp;C112)=0,"N/A",INDIRECT("'"&amp;B112&amp;"'!I"&amp;C112))</f>
        <v>กรณีการเปลี่ยนแปลงที่ต้องดำเนินการอย่างเร่งด่วน (emergency change) ควรจัดให้มีกระบวนการในการพิจารณาความเสี่ยงและผลกระทบ รวมถึงขออนุมัติจากผู้บริหารที่ได้รับมอบหมายให้สามารถตัดสินใจได้กรณีเร่งด่วน โดยภายหลังดำเนินการให้มีการรายงานผู้บริหารที่เกี่ยวข้อง และคณะกรรมการบริหารจัดการการเปลี่ยนแปลง (change advisory board : CAB) (ถ้ามี) รับทราบโดยเร็ว</v>
      </c>
      <c r="O112" s="533" t="str" cm="1">
        <f t="array" aca="1" ref="O112" ca="1">IF(INDIRECT("'"&amp;B112&amp;"'!N"&amp;C112)=0,"N/A",INDIRECT("'"&amp;B112&amp;"'!N"&amp;C112))</f>
        <v>Yes/Partial/No</v>
      </c>
      <c r="P112" s="527" t="str" cm="1">
        <f t="array" aca="1" ref="P112" ca="1">IF(INDIRECT("'"&amp;B112&amp;"'!L"&amp;C112)=0,"",INDIRECT("'"&amp;B112&amp;"'!L"&amp;C112))</f>
        <v/>
      </c>
      <c r="Q112" s="527" t="str">
        <f t="shared" ca="1" si="8"/>
        <v/>
      </c>
      <c r="R112" s="563" t="str">
        <f t="shared" ca="1" si="9"/>
        <v>Yes</v>
      </c>
      <c r="S112" s="528" t="s">
        <v>1598</v>
      </c>
      <c r="T112" s="529" t="str">
        <f t="shared" si="10"/>
        <v>X</v>
      </c>
      <c r="U112" s="529" t="str">
        <f t="shared" si="11"/>
        <v>X</v>
      </c>
      <c r="V112" s="529" t="str">
        <f t="shared" si="12"/>
        <v/>
      </c>
      <c r="W112" s="529" t="str">
        <f t="shared" si="13"/>
        <v/>
      </c>
      <c r="X112" s="529" t="str">
        <f t="shared" si="14"/>
        <v/>
      </c>
      <c r="Y112" s="529" t="str">
        <f t="shared" si="15"/>
        <v/>
      </c>
    </row>
    <row r="113" spans="1:25" ht="75.150000000000006" x14ac:dyDescent="0.2">
      <c r="A113" s="253" t="s">
        <v>792</v>
      </c>
      <c r="B113" s="253" t="s">
        <v>1595</v>
      </c>
      <c r="C113" s="253">
        <v>19</v>
      </c>
      <c r="D113" s="253" t="s">
        <v>1579</v>
      </c>
      <c r="E113" s="253" t="s">
        <v>1597</v>
      </c>
      <c r="F113" s="253" t="s">
        <v>1574</v>
      </c>
      <c r="G113" s="215" t="str" cm="1">
        <f t="array" aca="1" ref="G113" ca="1">IF(INDIRECT("'"&amp;B113&amp;"'!B"&amp;C113)=0,"",INDIRECT("'"&amp;B113&amp;"'!B"&amp;C113))</f>
        <v>x</v>
      </c>
      <c r="H113" s="215" t="str" cm="1">
        <f t="array" aca="1" ref="H113" ca="1">IF(INDIRECT("'"&amp;B113&amp;"'!C"&amp;C113)=0,"",INDIRECT("'"&amp;B113&amp;"'!C"&amp;C113))</f>
        <v/>
      </c>
      <c r="I113" s="215" t="str" cm="1">
        <f t="array" aca="1" ref="I113" ca="1">IF(INDIRECT("'"&amp;B113&amp;"'!D"&amp;C113)=0,"",INDIRECT("'"&amp;B113&amp;"'!D"&amp;C113))</f>
        <v/>
      </c>
      <c r="J113" s="215" t="str" cm="1">
        <f t="array" aca="1" ref="J113" ca="1">IF(INDIRECT("'"&amp;B113&amp;"'!E"&amp;C113)=0,"",INDIRECT("'"&amp;B113&amp;"'!E"&amp;C113))</f>
        <v/>
      </c>
      <c r="K113" s="253" cm="1">
        <f t="array" aca="1" ref="K113" ca="1">IF(INDIRECT("'"&amp;B113&amp;"'!F"&amp;C113)=0,"N/A",INDIRECT("'"&amp;B113&amp;"'!F"&amp;C113))</f>
        <v>8.1999999999999993</v>
      </c>
      <c r="L113" s="253" cm="1">
        <f t="array" aca="1" ref="L113" ca="1">IF(INDIRECT("'"&amp;B113&amp;"'!G"&amp;C113)=0,"N/A",INDIRECT("'"&amp;B113&amp;"'!G"&amp;C113))</f>
        <v>10</v>
      </c>
      <c r="M113" s="253" t="str" cm="1">
        <f t="array" aca="1" ref="M113" ca="1">IF(INDIRECT("'"&amp;B113&amp;"'!H"&amp;C113)=0,"N/A",INDIRECT("'"&amp;B113&amp;"'!H"&amp;C113))</f>
        <v>8.2 #10</v>
      </c>
      <c r="N113" s="221" t="str" cm="1">
        <f t="array" aca="1" ref="N113" ca="1">IF(INDIRECT("'"&amp;B113&amp;"'!I"&amp;C113)=0,"N/A",INDIRECT("'"&amp;B113&amp;"'!I"&amp;C113))</f>
        <v>มีการกำหนดบทบาทหน้าที่และความรับผิดชอบของคณะกรรมการบริหารจัดการการเปลี่ยนแปลง (change advisory board : CAB) ซึ่งควรประกอบด้วยผู้บริหารจากหน่วยงาน IT หน่วยงานธุรกิจ และหน่วยงานผู้ใช้งานที่เกี่ยวข้อง เพื่อทำหน้าที่พิจารณาเหตุผลความจำเป็นและประเมินผลกระทบก่อนอนุมัติให้ดำเนินการเปลี่ยนแปลง เพื่อป้องกันการแก้ไขเปลี่ยนแปลงโดยไม่ได้รับอนุญาตและไม่ให้เกิดผลกระทบที่อาจเกิดกับระบบที่เกี่ยวข้อง นอกจากนี้ CAB ควรมีการติดตามผลหลังการเปลี่ยนแปลงระบบ (post implementation review) เพื่อให้มั่นใจได้ว่าการเปลี่ยนแปลงนั้นเป็นไปตามวัตถุประสงค์ที่กำหนด</v>
      </c>
      <c r="O113" s="533" t="str" cm="1">
        <f t="array" aca="1" ref="O113" ca="1">IF(INDIRECT("'"&amp;B113&amp;"'!N"&amp;C113)=0,"N/A",INDIRECT("'"&amp;B113&amp;"'!N"&amp;C113))</f>
        <v>Yes/Partial/No</v>
      </c>
      <c r="P113" s="527" t="str" cm="1">
        <f t="array" aca="1" ref="P113" ca="1">IF(INDIRECT("'"&amp;B113&amp;"'!L"&amp;C113)=0,"",INDIRECT("'"&amp;B113&amp;"'!L"&amp;C113))</f>
        <v/>
      </c>
      <c r="Q113" s="527" t="str">
        <f t="shared" ca="1" si="8"/>
        <v/>
      </c>
      <c r="R113" s="563" t="str">
        <f t="shared" ca="1" si="9"/>
        <v>Yes</v>
      </c>
      <c r="S113" s="528" t="s">
        <v>1598</v>
      </c>
      <c r="T113" s="529" t="str">
        <f t="shared" si="10"/>
        <v>X</v>
      </c>
      <c r="U113" s="529" t="str">
        <f t="shared" si="11"/>
        <v>X</v>
      </c>
      <c r="V113" s="529" t="str">
        <f t="shared" si="12"/>
        <v/>
      </c>
      <c r="W113" s="529" t="str">
        <f t="shared" si="13"/>
        <v/>
      </c>
      <c r="X113" s="529" t="str">
        <f t="shared" si="14"/>
        <v/>
      </c>
      <c r="Y113" s="529" t="str">
        <f t="shared" si="15"/>
        <v/>
      </c>
    </row>
    <row r="114" spans="1:25" ht="37.6" x14ac:dyDescent="0.2">
      <c r="A114" s="253" t="s">
        <v>797</v>
      </c>
      <c r="B114" s="253" t="s">
        <v>1595</v>
      </c>
      <c r="C114" s="253">
        <v>21</v>
      </c>
      <c r="D114" s="253" t="s">
        <v>1579</v>
      </c>
      <c r="E114" s="253" t="s">
        <v>1599</v>
      </c>
      <c r="F114" s="253" t="s">
        <v>1571</v>
      </c>
      <c r="G114" s="215" t="str" cm="1">
        <f t="array" aca="1" ref="G114" ca="1">IF(INDIRECT("'"&amp;B114&amp;"'!B"&amp;C114)=0,"",INDIRECT("'"&amp;B114&amp;"'!B"&amp;C114))</f>
        <v>x</v>
      </c>
      <c r="H114" s="215" t="str" cm="1">
        <f t="array" aca="1" ref="H114" ca="1">IF(INDIRECT("'"&amp;B114&amp;"'!C"&amp;C114)=0,"",INDIRECT("'"&amp;B114&amp;"'!C"&amp;C114))</f>
        <v>x</v>
      </c>
      <c r="I114" s="215" t="str" cm="1">
        <f t="array" aca="1" ref="I114" ca="1">IF(INDIRECT("'"&amp;B114&amp;"'!D"&amp;C114)=0,"",INDIRECT("'"&amp;B114&amp;"'!D"&amp;C114))</f>
        <v>x</v>
      </c>
      <c r="J114" s="215" t="str" cm="1">
        <f t="array" aca="1" ref="J114" ca="1">IF(INDIRECT("'"&amp;B114&amp;"'!E"&amp;C114)=0,"",INDIRECT("'"&amp;B114&amp;"'!E"&amp;C114))</f>
        <v/>
      </c>
      <c r="K114" s="253" cm="1">
        <f t="array" aca="1" ref="K114" ca="1">IF(INDIRECT("'"&amp;B114&amp;"'!F"&amp;C114)=0,"N/A",INDIRECT("'"&amp;B114&amp;"'!F"&amp;C114))</f>
        <v>8.3000000000000007</v>
      </c>
      <c r="L114" s="253" cm="1">
        <f t="array" aca="1" ref="L114" ca="1">IF(INDIRECT("'"&amp;B114&amp;"'!G"&amp;C114)=0,"N/A",INDIRECT("'"&amp;B114&amp;"'!G"&amp;C114))</f>
        <v>1</v>
      </c>
      <c r="M114" s="253" t="str" cm="1">
        <f t="array" aca="1" ref="M114" ca="1">IF(INDIRECT("'"&amp;B114&amp;"'!H"&amp;C114)=0,"N/A",INDIRECT("'"&amp;B114&amp;"'!H"&amp;C114))</f>
        <v>8.3 #1</v>
      </c>
      <c r="N114" s="221" t="str" cm="1">
        <f t="array" aca="1" ref="N114" ca="1">IF(INDIRECT("'"&amp;B114&amp;"'!I"&amp;C114)=0,"N/A",INDIRECT("'"&amp;B114&amp;"'!I"&amp;C114))</f>
        <v>มีการกำหนดมาตรฐานและระเบียบวิธีปฏิบัติในการบริหารจัดการขีดความสามารถของระบบ เพื่อประเมินและติดตามดูแลความเพียงพอของโครงสร้างพื้นฐานด้าน IT ที่ครอบคลุมถึงระบบคอมพิวเตอร์ ระบบฐานข้อมูล ระบบเครือข่ายสื่อสาร และระบบสาธารณูปโภคที่เกี่ยวข้องกับงานด้าน IT</v>
      </c>
      <c r="O114" s="533" t="str" cm="1">
        <f t="array" aca="1" ref="O114" ca="1">IF(INDIRECT("'"&amp;B114&amp;"'!N"&amp;C114)=0,"N/A",INDIRECT("'"&amp;B114&amp;"'!N"&amp;C114))</f>
        <v>Yes/Partial/No</v>
      </c>
      <c r="P114" s="527" t="str" cm="1">
        <f t="array" aca="1" ref="P114" ca="1">IF(INDIRECT("'"&amp;B114&amp;"'!L"&amp;C114)=0,"",INDIRECT("'"&amp;B114&amp;"'!L"&amp;C114))</f>
        <v/>
      </c>
      <c r="Q114" s="527" t="str">
        <f t="shared" ca="1" si="8"/>
        <v/>
      </c>
      <c r="R114" s="563" t="str">
        <f t="shared" ca="1" si="9"/>
        <v>Yes</v>
      </c>
      <c r="S114" s="528" t="s">
        <v>1590</v>
      </c>
      <c r="T114" s="529" t="str">
        <f t="shared" si="10"/>
        <v>X</v>
      </c>
      <c r="U114" s="529" t="str">
        <f t="shared" si="11"/>
        <v/>
      </c>
      <c r="V114" s="529" t="str">
        <f t="shared" si="12"/>
        <v>X</v>
      </c>
      <c r="W114" s="529" t="str">
        <f t="shared" si="13"/>
        <v/>
      </c>
      <c r="X114" s="529" t="str">
        <f t="shared" si="14"/>
        <v/>
      </c>
      <c r="Y114" s="529" t="str">
        <f t="shared" si="15"/>
        <v/>
      </c>
    </row>
    <row r="115" spans="1:25" ht="37.6" x14ac:dyDescent="0.2">
      <c r="A115" s="253" t="s">
        <v>801</v>
      </c>
      <c r="B115" s="253" t="s">
        <v>1595</v>
      </c>
      <c r="C115" s="253">
        <v>22</v>
      </c>
      <c r="D115" s="253" t="s">
        <v>1579</v>
      </c>
      <c r="E115" s="253" t="s">
        <v>1599</v>
      </c>
      <c r="F115" s="253" t="s">
        <v>1571</v>
      </c>
      <c r="G115" s="215" t="str" cm="1">
        <f t="array" aca="1" ref="G115" ca="1">IF(INDIRECT("'"&amp;B115&amp;"'!B"&amp;C115)=0,"",INDIRECT("'"&amp;B115&amp;"'!B"&amp;C115))</f>
        <v>x</v>
      </c>
      <c r="H115" s="215" t="str" cm="1">
        <f t="array" aca="1" ref="H115" ca="1">IF(INDIRECT("'"&amp;B115&amp;"'!C"&amp;C115)=0,"",INDIRECT("'"&amp;B115&amp;"'!C"&amp;C115))</f>
        <v>x</v>
      </c>
      <c r="I115" s="215" t="str" cm="1">
        <f t="array" aca="1" ref="I115" ca="1">IF(INDIRECT("'"&amp;B115&amp;"'!D"&amp;C115)=0,"",INDIRECT("'"&amp;B115&amp;"'!D"&amp;C115))</f>
        <v>x</v>
      </c>
      <c r="J115" s="215" t="str" cm="1">
        <f t="array" aca="1" ref="J115" ca="1">IF(INDIRECT("'"&amp;B115&amp;"'!E"&amp;C115)=0,"",INDIRECT("'"&amp;B115&amp;"'!E"&amp;C115))</f>
        <v/>
      </c>
      <c r="K115" s="253" cm="1">
        <f t="array" aca="1" ref="K115" ca="1">IF(INDIRECT("'"&amp;B115&amp;"'!F"&amp;C115)=0,"N/A",INDIRECT("'"&amp;B115&amp;"'!F"&amp;C115))</f>
        <v>8.3000000000000007</v>
      </c>
      <c r="L115" s="253" cm="1">
        <f t="array" aca="1" ref="L115" ca="1">IF(INDIRECT("'"&amp;B115&amp;"'!G"&amp;C115)=0,"N/A",INDIRECT("'"&amp;B115&amp;"'!G"&amp;C115))</f>
        <v>2</v>
      </c>
      <c r="M115" s="253" t="str" cm="1">
        <f t="array" aca="1" ref="M115" ca="1">IF(INDIRECT("'"&amp;B115&amp;"'!H"&amp;C115)=0,"N/A",INDIRECT("'"&amp;B115&amp;"'!H"&amp;C115))</f>
        <v>8.3 #2</v>
      </c>
      <c r="N115" s="221" t="str" cm="1">
        <f t="array" aca="1" ref="N115" ca="1">IF(INDIRECT("'"&amp;B115&amp;"'!I"&amp;C115)=0,"N/A",INDIRECT("'"&amp;B115&amp;"'!I"&amp;C115))</f>
        <v>มีการประเมินแนวโน้มการใช้ทรัพยากรด้าน IT (forecasting) โดยคำนึงถึงปริมาณธุรกรรมและปริมาณลูกค้าในภาวะปกติและภาวะวิกฤตที่อาจจะเกิดขึ้น เพื่อวางแผนรองรับการใช้งานในอนาคต (capacity planning) โดยครอบคลุมทั้งระบบหลักและระบบสำรอง</v>
      </c>
      <c r="O115" s="533" t="str" cm="1">
        <f t="array" aca="1" ref="O115" ca="1">IF(INDIRECT("'"&amp;B115&amp;"'!N"&amp;C115)=0,"N/A",INDIRECT("'"&amp;B115&amp;"'!N"&amp;C115))</f>
        <v>Yes/Partial/No</v>
      </c>
      <c r="P115" s="527" t="str" cm="1">
        <f t="array" aca="1" ref="P115" ca="1">IF(INDIRECT("'"&amp;B115&amp;"'!L"&amp;C115)=0,"",INDIRECT("'"&amp;B115&amp;"'!L"&amp;C115))</f>
        <v/>
      </c>
      <c r="Q115" s="527" t="str">
        <f t="shared" ca="1" si="8"/>
        <v/>
      </c>
      <c r="R115" s="563" t="str">
        <f t="shared" ca="1" si="9"/>
        <v>Yes</v>
      </c>
      <c r="S115" s="528" t="s">
        <v>1580</v>
      </c>
      <c r="T115" s="529" t="str">
        <f t="shared" si="10"/>
        <v/>
      </c>
      <c r="U115" s="529" t="str">
        <f t="shared" si="11"/>
        <v/>
      </c>
      <c r="V115" s="529" t="str">
        <f t="shared" si="12"/>
        <v>X</v>
      </c>
      <c r="W115" s="529" t="str">
        <f t="shared" si="13"/>
        <v/>
      </c>
      <c r="X115" s="529" t="str">
        <f t="shared" si="14"/>
        <v/>
      </c>
      <c r="Y115" s="529" t="str">
        <f t="shared" si="15"/>
        <v/>
      </c>
    </row>
    <row r="116" spans="1:25" ht="50.1" x14ac:dyDescent="0.2">
      <c r="A116" s="253" t="s">
        <v>805</v>
      </c>
      <c r="B116" s="253" t="s">
        <v>1595</v>
      </c>
      <c r="C116" s="253">
        <v>23</v>
      </c>
      <c r="D116" s="253" t="s">
        <v>1579</v>
      </c>
      <c r="E116" s="253" t="s">
        <v>1599</v>
      </c>
      <c r="F116" s="253" t="s">
        <v>1571</v>
      </c>
      <c r="G116" s="215" t="str" cm="1">
        <f t="array" aca="1" ref="G116" ca="1">IF(INDIRECT("'"&amp;B116&amp;"'!B"&amp;C116)=0,"",INDIRECT("'"&amp;B116&amp;"'!B"&amp;C116))</f>
        <v>x</v>
      </c>
      <c r="H116" s="215" t="str" cm="1">
        <f t="array" aca="1" ref="H116" ca="1">IF(INDIRECT("'"&amp;B116&amp;"'!C"&amp;C116)=0,"",INDIRECT("'"&amp;B116&amp;"'!C"&amp;C116))</f>
        <v>x</v>
      </c>
      <c r="I116" s="215" t="str" cm="1">
        <f t="array" aca="1" ref="I116" ca="1">IF(INDIRECT("'"&amp;B116&amp;"'!D"&amp;C116)=0,"",INDIRECT("'"&amp;B116&amp;"'!D"&amp;C116))</f>
        <v>x</v>
      </c>
      <c r="J116" s="215" t="str" cm="1">
        <f t="array" aca="1" ref="J116" ca="1">IF(INDIRECT("'"&amp;B116&amp;"'!E"&amp;C116)=0,"",INDIRECT("'"&amp;B116&amp;"'!E"&amp;C116))</f>
        <v/>
      </c>
      <c r="K116" s="253" cm="1">
        <f t="array" aca="1" ref="K116" ca="1">IF(INDIRECT("'"&amp;B116&amp;"'!F"&amp;C116)=0,"N/A",INDIRECT("'"&amp;B116&amp;"'!F"&amp;C116))</f>
        <v>8.3000000000000007</v>
      </c>
      <c r="L116" s="253" cm="1">
        <f t="array" aca="1" ref="L116" ca="1">IF(INDIRECT("'"&amp;B116&amp;"'!G"&amp;C116)=0,"N/A",INDIRECT("'"&amp;B116&amp;"'!G"&amp;C116))</f>
        <v>3</v>
      </c>
      <c r="M116" s="253" t="str" cm="1">
        <f t="array" aca="1" ref="M116" ca="1">IF(INDIRECT("'"&amp;B116&amp;"'!H"&amp;C116)=0,"N/A",INDIRECT("'"&amp;B116&amp;"'!H"&amp;C116))</f>
        <v>8.3 #3</v>
      </c>
      <c r="N116" s="221" t="str" cm="1">
        <f t="array" aca="1" ref="N116" ca="1">IF(INDIRECT("'"&amp;B116&amp;"'!I"&amp;C116)=0,"N/A",INDIRECT("'"&amp;B116&amp;"'!I"&amp;C116))</f>
        <v>มีกระบวนการหรือเครื่องมือติดตามตัวชี้วัดการใช้ทรัพยากรด้าน IT (threshold and trigger) เช่น ประสิทธิภาพการทำงาน (performance) ความหน่วง (latency) ขีดความสามารถ (capacity) และปริมาณทรัพยากรที่ใช้งาน (utilization) เป็นต้น เพื่อให้เจ้าหน้าที่ที่เกี่ยวข้องสามารถรับทราบปัญหาอย่างทันท่วงที และดำเนินการรับมืออย่างเหมาะสม</v>
      </c>
      <c r="O116" s="533" t="str" cm="1">
        <f t="array" aca="1" ref="O116" ca="1">IF(INDIRECT("'"&amp;B116&amp;"'!N"&amp;C116)=0,"N/A",INDIRECT("'"&amp;B116&amp;"'!N"&amp;C116))</f>
        <v>Yes/Partial/No</v>
      </c>
      <c r="P116" s="527" t="str" cm="1">
        <f t="array" aca="1" ref="P116" ca="1">IF(INDIRECT("'"&amp;B116&amp;"'!L"&amp;C116)=0,"",INDIRECT("'"&amp;B116&amp;"'!L"&amp;C116))</f>
        <v/>
      </c>
      <c r="Q116" s="527" t="str">
        <f t="shared" ca="1" si="8"/>
        <v/>
      </c>
      <c r="R116" s="563" t="str">
        <f t="shared" ca="1" si="9"/>
        <v>Yes</v>
      </c>
      <c r="S116" s="528" t="s">
        <v>1580</v>
      </c>
      <c r="T116" s="529" t="str">
        <f t="shared" si="10"/>
        <v/>
      </c>
      <c r="U116" s="529" t="str">
        <f t="shared" si="11"/>
        <v/>
      </c>
      <c r="V116" s="529" t="str">
        <f t="shared" si="12"/>
        <v>X</v>
      </c>
      <c r="W116" s="529" t="str">
        <f t="shared" si="13"/>
        <v/>
      </c>
      <c r="X116" s="529" t="str">
        <f t="shared" si="14"/>
        <v/>
      </c>
      <c r="Y116" s="529" t="str">
        <f t="shared" si="15"/>
        <v/>
      </c>
    </row>
    <row r="117" spans="1:25" ht="37.6" x14ac:dyDescent="0.2">
      <c r="A117" s="253" t="s">
        <v>809</v>
      </c>
      <c r="B117" s="253" t="s">
        <v>1595</v>
      </c>
      <c r="C117" s="253">
        <v>24</v>
      </c>
      <c r="D117" s="253" t="s">
        <v>1579</v>
      </c>
      <c r="E117" s="253" t="s">
        <v>1599</v>
      </c>
      <c r="F117" s="253" t="s">
        <v>1571</v>
      </c>
      <c r="G117" s="215" t="str" cm="1">
        <f t="array" aca="1" ref="G117" ca="1">IF(INDIRECT("'"&amp;B117&amp;"'!B"&amp;C117)=0,"",INDIRECT("'"&amp;B117&amp;"'!B"&amp;C117))</f>
        <v>x</v>
      </c>
      <c r="H117" s="215" t="str" cm="1">
        <f t="array" aca="1" ref="H117" ca="1">IF(INDIRECT("'"&amp;B117&amp;"'!C"&amp;C117)=0,"",INDIRECT("'"&amp;B117&amp;"'!C"&amp;C117))</f>
        <v>x</v>
      </c>
      <c r="I117" s="215" t="str" cm="1">
        <f t="array" aca="1" ref="I117" ca="1">IF(INDIRECT("'"&amp;B117&amp;"'!D"&amp;C117)=0,"",INDIRECT("'"&amp;B117&amp;"'!D"&amp;C117))</f>
        <v>x</v>
      </c>
      <c r="J117" s="215" t="str" cm="1">
        <f t="array" aca="1" ref="J117" ca="1">IF(INDIRECT("'"&amp;B117&amp;"'!E"&amp;C117)=0,"",INDIRECT("'"&amp;B117&amp;"'!E"&amp;C117))</f>
        <v/>
      </c>
      <c r="K117" s="253" cm="1">
        <f t="array" aca="1" ref="K117" ca="1">IF(INDIRECT("'"&amp;B117&amp;"'!F"&amp;C117)=0,"N/A",INDIRECT("'"&amp;B117&amp;"'!F"&amp;C117))</f>
        <v>8.3000000000000007</v>
      </c>
      <c r="L117" s="253" cm="1">
        <f t="array" aca="1" ref="L117" ca="1">IF(INDIRECT("'"&amp;B117&amp;"'!G"&amp;C117)=0,"N/A",INDIRECT("'"&amp;B117&amp;"'!G"&amp;C117))</f>
        <v>4</v>
      </c>
      <c r="M117" s="253" t="str" cm="1">
        <f t="array" aca="1" ref="M117" ca="1">IF(INDIRECT("'"&amp;B117&amp;"'!H"&amp;C117)=0,"N/A",INDIRECT("'"&amp;B117&amp;"'!H"&amp;C117))</f>
        <v>8.3 #4</v>
      </c>
      <c r="N117" s="221" t="str" cm="1">
        <f t="array" aca="1" ref="N117" ca="1">IF(INDIRECT("'"&amp;B117&amp;"'!I"&amp;C117)=0,"N/A",INDIRECT("'"&amp;B117&amp;"'!I"&amp;C117))</f>
        <v>มีการจัดทำรายงานความเพียงพอของทรัพยากรด้าน IT นำเสนอต่อคณะกรรมการที่ได้รับมอบหมาย หรือผู้บริหารระดับสูงที่เกี่ยวข้องรับทราบอย่างสม่ำเสมอ เพื่อให้มีการกำกับดูแลความพร้อมใช้และความเพียงพอของระบบในการรองรับการให้บริการทางธุรกิจได้อย่างต่อเนื่อง และสามารถพิจารณาแนวทางลดความเสี่ยงได้อย่างทันการณ์</v>
      </c>
      <c r="O117" s="533" t="str" cm="1">
        <f t="array" aca="1" ref="O117" ca="1">IF(INDIRECT("'"&amp;B117&amp;"'!N"&amp;C117)=0,"N/A",INDIRECT("'"&amp;B117&amp;"'!N"&amp;C117))</f>
        <v>Yes/Partial/No</v>
      </c>
      <c r="P117" s="527" t="str" cm="1">
        <f t="array" aca="1" ref="P117" ca="1">IF(INDIRECT("'"&amp;B117&amp;"'!L"&amp;C117)=0,"",INDIRECT("'"&amp;B117&amp;"'!L"&amp;C117))</f>
        <v/>
      </c>
      <c r="Q117" s="527" t="str">
        <f t="shared" ca="1" si="8"/>
        <v/>
      </c>
      <c r="R117" s="563" t="str">
        <f t="shared" ca="1" si="9"/>
        <v>Yes</v>
      </c>
      <c r="S117" s="528" t="s">
        <v>1572</v>
      </c>
      <c r="T117" s="529" t="str">
        <f t="shared" si="10"/>
        <v>X</v>
      </c>
      <c r="U117" s="529" t="str">
        <f t="shared" si="11"/>
        <v/>
      </c>
      <c r="V117" s="529" t="str">
        <f t="shared" si="12"/>
        <v/>
      </c>
      <c r="W117" s="529" t="str">
        <f t="shared" si="13"/>
        <v/>
      </c>
      <c r="X117" s="529" t="str">
        <f t="shared" si="14"/>
        <v/>
      </c>
      <c r="Y117" s="529" t="str">
        <f t="shared" si="15"/>
        <v/>
      </c>
    </row>
    <row r="118" spans="1:25" x14ac:dyDescent="0.2">
      <c r="A118" s="253" t="s">
        <v>814</v>
      </c>
      <c r="B118" s="253" t="s">
        <v>1595</v>
      </c>
      <c r="C118" s="253">
        <v>26</v>
      </c>
      <c r="D118" s="253" t="s">
        <v>1579</v>
      </c>
      <c r="E118" s="253" t="s">
        <v>1600</v>
      </c>
      <c r="F118" s="253" t="s">
        <v>1571</v>
      </c>
      <c r="G118" s="215" t="str" cm="1">
        <f t="array" aca="1" ref="G118" ca="1">IF(INDIRECT("'"&amp;B118&amp;"'!B"&amp;C118)=0,"",INDIRECT("'"&amp;B118&amp;"'!B"&amp;C118))</f>
        <v>x</v>
      </c>
      <c r="H118" s="215" t="str" cm="1">
        <f t="array" aca="1" ref="H118" ca="1">IF(INDIRECT("'"&amp;B118&amp;"'!C"&amp;C118)=0,"",INDIRECT("'"&amp;B118&amp;"'!C"&amp;C118))</f>
        <v>x</v>
      </c>
      <c r="I118" s="215" t="str" cm="1">
        <f t="array" aca="1" ref="I118" ca="1">IF(INDIRECT("'"&amp;B118&amp;"'!D"&amp;C118)=0,"",INDIRECT("'"&amp;B118&amp;"'!D"&amp;C118))</f>
        <v>x</v>
      </c>
      <c r="J118" s="215" t="str" cm="1">
        <f t="array" aca="1" ref="J118" ca="1">IF(INDIRECT("'"&amp;B118&amp;"'!E"&amp;C118)=0,"",INDIRECT("'"&amp;B118&amp;"'!E"&amp;C118))</f>
        <v>x</v>
      </c>
      <c r="K118" s="253" cm="1">
        <f t="array" aca="1" ref="K118" ca="1">IF(INDIRECT("'"&amp;B118&amp;"'!F"&amp;C118)=0,"N/A",INDIRECT("'"&amp;B118&amp;"'!F"&amp;C118))</f>
        <v>8.4</v>
      </c>
      <c r="L118" s="253" t="str" cm="1">
        <f t="array" aca="1" ref="L118" ca="1">IF(INDIRECT("'"&amp;B118&amp;"'!G"&amp;C118)=0,"N/A",INDIRECT("'"&amp;B118&amp;"'!G"&amp;C118))</f>
        <v>1(1)</v>
      </c>
      <c r="M118" s="253" t="str" cm="1">
        <f t="array" aca="1" ref="M118" ca="1">IF(INDIRECT("'"&amp;B118&amp;"'!H"&amp;C118)=0,"N/A",INDIRECT("'"&amp;B118&amp;"'!H"&amp;C118))</f>
        <v>8.4 #1(1)</v>
      </c>
      <c r="N118" s="221" t="str" cm="1">
        <f t="array" aca="1" ref="N118" ca="1">IF(INDIRECT("'"&amp;B118&amp;"'!I"&amp;C118)=0,"N/A",INDIRECT("'"&amp;B118&amp;"'!I"&amp;C118))</f>
        <v>มีกระบวนการ หรือเครื่องมือในการควบคุมและติดตามไม่ให้มีการติดตั้งซอฟต์แวร์ที่ไม่ได้รับอนุญาต</v>
      </c>
      <c r="O118" s="533" t="str" cm="1">
        <f t="array" aca="1" ref="O118" ca="1">IF(INDIRECT("'"&amp;B118&amp;"'!N"&amp;C118)=0,"N/A",INDIRECT("'"&amp;B118&amp;"'!N"&amp;C118))</f>
        <v>Maturity</v>
      </c>
      <c r="P118" s="527" t="str" cm="1">
        <f t="array" aca="1" ref="P118" ca="1">IF(INDIRECT("'"&amp;B118&amp;"'!L"&amp;C118)=0,"",INDIRECT("'"&amp;B118&amp;"'!L"&amp;C118))</f>
        <v/>
      </c>
      <c r="Q118" s="527" t="str">
        <f t="shared" ca="1" si="8"/>
        <v/>
      </c>
      <c r="R118" s="563" t="str">
        <f t="shared" ca="1" si="9"/>
        <v>Yes</v>
      </c>
      <c r="S118" s="528" t="s">
        <v>1580</v>
      </c>
      <c r="T118" s="529" t="str">
        <f t="shared" si="10"/>
        <v/>
      </c>
      <c r="U118" s="529" t="str">
        <f t="shared" si="11"/>
        <v/>
      </c>
      <c r="V118" s="529" t="str">
        <f t="shared" si="12"/>
        <v>X</v>
      </c>
      <c r="W118" s="529" t="str">
        <f t="shared" si="13"/>
        <v/>
      </c>
      <c r="X118" s="529" t="str">
        <f t="shared" si="14"/>
        <v/>
      </c>
      <c r="Y118" s="529" t="str">
        <f t="shared" si="15"/>
        <v/>
      </c>
    </row>
    <row r="119" spans="1:25" ht="37.6" x14ac:dyDescent="0.2">
      <c r="A119" s="253" t="s">
        <v>823</v>
      </c>
      <c r="B119" s="253" t="s">
        <v>1595</v>
      </c>
      <c r="C119" s="253">
        <v>27</v>
      </c>
      <c r="D119" s="253" t="s">
        <v>1579</v>
      </c>
      <c r="E119" s="253" t="s">
        <v>1600</v>
      </c>
      <c r="F119" s="253" t="s">
        <v>1571</v>
      </c>
      <c r="G119" s="215" t="str" cm="1">
        <f t="array" aca="1" ref="G119" ca="1">IF(INDIRECT("'"&amp;B119&amp;"'!B"&amp;C119)=0,"",INDIRECT("'"&amp;B119&amp;"'!B"&amp;C119))</f>
        <v>x</v>
      </c>
      <c r="H119" s="215" t="str" cm="1">
        <f t="array" aca="1" ref="H119" ca="1">IF(INDIRECT("'"&amp;B119&amp;"'!C"&amp;C119)=0,"",INDIRECT("'"&amp;B119&amp;"'!C"&amp;C119))</f>
        <v>x</v>
      </c>
      <c r="I119" s="215" t="str" cm="1">
        <f t="array" aca="1" ref="I119" ca="1">IF(INDIRECT("'"&amp;B119&amp;"'!D"&amp;C119)=0,"",INDIRECT("'"&amp;B119&amp;"'!D"&amp;C119))</f>
        <v>x</v>
      </c>
      <c r="J119" s="215" t="str" cm="1">
        <f t="array" aca="1" ref="J119" ca="1">IF(INDIRECT("'"&amp;B119&amp;"'!E"&amp;C119)=0,"",INDIRECT("'"&amp;B119&amp;"'!E"&amp;C119))</f>
        <v>x</v>
      </c>
      <c r="K119" s="253" cm="1">
        <f t="array" aca="1" ref="K119" ca="1">IF(INDIRECT("'"&amp;B119&amp;"'!F"&amp;C119)=0,"N/A",INDIRECT("'"&amp;B119&amp;"'!F"&amp;C119))</f>
        <v>8.4</v>
      </c>
      <c r="L119" s="253" t="str" cm="1">
        <f t="array" aca="1" ref="L119" ca="1">IF(INDIRECT("'"&amp;B119&amp;"'!G"&amp;C119)=0,"N/A",INDIRECT("'"&amp;B119&amp;"'!G"&amp;C119))</f>
        <v>1(2)</v>
      </c>
      <c r="M119" s="253" t="str" cm="1">
        <f t="array" aca="1" ref="M119" ca="1">IF(INDIRECT("'"&amp;B119&amp;"'!H"&amp;C119)=0,"N/A",INDIRECT("'"&amp;B119&amp;"'!H"&amp;C119))</f>
        <v>8.4 #1(2)</v>
      </c>
      <c r="N119" s="221" t="str" cm="1">
        <f t="array" aca="1" ref="N119" ca="1">IF(INDIRECT("'"&amp;B119&amp;"'!I"&amp;C119)=0,"N/A",INDIRECT("'"&amp;B119&amp;"'!I"&amp;C119))</f>
        <v>มีการติดตั้งเครื่องมือในการป้องกันและตรวจจับโปรแกรมไม่ประสงค์ดี เช่น anti-virus, anti-malware และ intrusion prevention system เป็นต้น รวมทั้ง มีการปรับปรุงเครื่องมือในการป้องกันและตรวจจับโปรแกรมไม่ประสงค์ดีให้เป็นปัจจุบัน (update) และเท่าทันภัยคุกคามใหม่อย่างสม่ำเสมอ</v>
      </c>
      <c r="O119" s="533" t="str" cm="1">
        <f t="array" aca="1" ref="O119" ca="1">IF(INDIRECT("'"&amp;B119&amp;"'!N"&amp;C119)=0,"N/A",INDIRECT("'"&amp;B119&amp;"'!N"&amp;C119))</f>
        <v>Yes/Partial/No</v>
      </c>
      <c r="P119" s="527" t="str" cm="1">
        <f t="array" aca="1" ref="P119" ca="1">IF(INDIRECT("'"&amp;B119&amp;"'!L"&amp;C119)=0,"",INDIRECT("'"&amp;B119&amp;"'!L"&amp;C119))</f>
        <v/>
      </c>
      <c r="Q119" s="527" t="str">
        <f t="shared" ca="1" si="8"/>
        <v/>
      </c>
      <c r="R119" s="563" t="str">
        <f t="shared" ca="1" si="9"/>
        <v>Yes</v>
      </c>
      <c r="S119" s="528" t="s">
        <v>1601</v>
      </c>
      <c r="T119" s="529" t="str">
        <f t="shared" si="10"/>
        <v/>
      </c>
      <c r="U119" s="529" t="str">
        <f t="shared" si="11"/>
        <v/>
      </c>
      <c r="V119" s="529" t="str">
        <f t="shared" si="12"/>
        <v>X</v>
      </c>
      <c r="W119" s="529" t="str">
        <f t="shared" si="13"/>
        <v>X</v>
      </c>
      <c r="X119" s="529" t="str">
        <f t="shared" si="14"/>
        <v>X</v>
      </c>
      <c r="Y119" s="529" t="str">
        <f t="shared" si="15"/>
        <v/>
      </c>
    </row>
    <row r="120" spans="1:25" ht="25.05" x14ac:dyDescent="0.2">
      <c r="A120" s="253" t="s">
        <v>827</v>
      </c>
      <c r="B120" s="253" t="s">
        <v>1595</v>
      </c>
      <c r="C120" s="253">
        <v>28</v>
      </c>
      <c r="D120" s="253" t="s">
        <v>1579</v>
      </c>
      <c r="E120" s="253" t="s">
        <v>1600</v>
      </c>
      <c r="F120" s="253" t="s">
        <v>1571</v>
      </c>
      <c r="G120" s="215" t="str" cm="1">
        <f t="array" aca="1" ref="G120" ca="1">IF(INDIRECT("'"&amp;B120&amp;"'!B"&amp;C120)=0,"",INDIRECT("'"&amp;B120&amp;"'!B"&amp;C120))</f>
        <v>x</v>
      </c>
      <c r="H120" s="215" t="str" cm="1">
        <f t="array" aca="1" ref="H120" ca="1">IF(INDIRECT("'"&amp;B120&amp;"'!C"&amp;C120)=0,"",INDIRECT("'"&amp;B120&amp;"'!C"&amp;C120))</f>
        <v>x</v>
      </c>
      <c r="I120" s="215" t="str" cm="1">
        <f t="array" aca="1" ref="I120" ca="1">IF(INDIRECT("'"&amp;B120&amp;"'!D"&amp;C120)=0,"",INDIRECT("'"&amp;B120&amp;"'!D"&amp;C120))</f>
        <v>x</v>
      </c>
      <c r="J120" s="215" t="str" cm="1">
        <f t="array" aca="1" ref="J120" ca="1">IF(INDIRECT("'"&amp;B120&amp;"'!E"&amp;C120)=0,"",INDIRECT("'"&amp;B120&amp;"'!E"&amp;C120))</f>
        <v>x</v>
      </c>
      <c r="K120" s="253" cm="1">
        <f t="array" aca="1" ref="K120" ca="1">IF(INDIRECT("'"&amp;B120&amp;"'!F"&amp;C120)=0,"N/A",INDIRECT("'"&amp;B120&amp;"'!F"&amp;C120))</f>
        <v>8.4</v>
      </c>
      <c r="L120" s="253" t="str" cm="1">
        <f t="array" aca="1" ref="L120" ca="1">IF(INDIRECT("'"&amp;B120&amp;"'!G"&amp;C120)=0,"N/A",INDIRECT("'"&amp;B120&amp;"'!G"&amp;C120))</f>
        <v>1(3)</v>
      </c>
      <c r="M120" s="253" t="str" cm="1">
        <f t="array" aca="1" ref="M120" ca="1">IF(INDIRECT("'"&amp;B120&amp;"'!H"&amp;C120)=0,"N/A",INDIRECT("'"&amp;B120&amp;"'!H"&amp;C120))</f>
        <v>8.4 #1(3)</v>
      </c>
      <c r="N120" s="221" t="str" cm="1">
        <f t="array" aca="1" ref="N120" ca="1">IF(INDIRECT("'"&amp;B120&amp;"'!I"&amp;C120)=0,"N/A",INDIRECT("'"&amp;B120&amp;"'!I"&amp;C120))</f>
        <v>มีการควบคุมการใช้งานหรือการเชื่อมต่อสื่อบันทึกข้อมูลพกพา (removable media) เช่น กำหนดแนวทางการควบคุม การใช้งาน universal serial bus (USB) หรือ external hard disk เป็นต้น</v>
      </c>
      <c r="O120" s="533" t="str" cm="1">
        <f t="array" aca="1" ref="O120" ca="1">IF(INDIRECT("'"&amp;B120&amp;"'!N"&amp;C120)=0,"N/A",INDIRECT("'"&amp;B120&amp;"'!N"&amp;C120))</f>
        <v>Yes/Partial/No</v>
      </c>
      <c r="P120" s="527" t="str" cm="1">
        <f t="array" aca="1" ref="P120" ca="1">IF(INDIRECT("'"&amp;B120&amp;"'!L"&amp;C120)=0,"",INDIRECT("'"&amp;B120&amp;"'!L"&amp;C120))</f>
        <v/>
      </c>
      <c r="Q120" s="527" t="str">
        <f t="shared" ca="1" si="8"/>
        <v/>
      </c>
      <c r="R120" s="563" t="str">
        <f t="shared" ca="1" si="9"/>
        <v>Yes</v>
      </c>
      <c r="S120" s="528" t="s">
        <v>1580</v>
      </c>
      <c r="T120" s="529" t="str">
        <f t="shared" si="10"/>
        <v/>
      </c>
      <c r="U120" s="529" t="str">
        <f t="shared" si="11"/>
        <v/>
      </c>
      <c r="V120" s="529" t="str">
        <f t="shared" si="12"/>
        <v>X</v>
      </c>
      <c r="W120" s="529" t="str">
        <f t="shared" si="13"/>
        <v/>
      </c>
      <c r="X120" s="529" t="str">
        <f t="shared" si="14"/>
        <v/>
      </c>
      <c r="Y120" s="529" t="str">
        <f t="shared" si="15"/>
        <v/>
      </c>
    </row>
    <row r="121" spans="1:25" ht="87.65" x14ac:dyDescent="0.2">
      <c r="A121" s="253" t="s">
        <v>831</v>
      </c>
      <c r="B121" s="253" t="s">
        <v>1595</v>
      </c>
      <c r="C121" s="253">
        <v>29</v>
      </c>
      <c r="D121" s="253" t="s">
        <v>1579</v>
      </c>
      <c r="E121" s="253" t="s">
        <v>1600</v>
      </c>
      <c r="F121" s="253" t="s">
        <v>1571</v>
      </c>
      <c r="G121" s="215" t="str" cm="1">
        <f t="array" aca="1" ref="G121" ca="1">IF(INDIRECT("'"&amp;B121&amp;"'!B"&amp;C121)=0,"",INDIRECT("'"&amp;B121&amp;"'!B"&amp;C121))</f>
        <v>x</v>
      </c>
      <c r="H121" s="215" t="str" cm="1">
        <f t="array" aca="1" ref="H121" ca="1">IF(INDIRECT("'"&amp;B121&amp;"'!C"&amp;C121)=0,"",INDIRECT("'"&amp;B121&amp;"'!C"&amp;C121))</f>
        <v>x</v>
      </c>
      <c r="I121" s="215" t="str" cm="1">
        <f t="array" aca="1" ref="I121" ca="1">IF(INDIRECT("'"&amp;B121&amp;"'!D"&amp;C121)=0,"",INDIRECT("'"&amp;B121&amp;"'!D"&amp;C121))</f>
        <v>x</v>
      </c>
      <c r="J121" s="215" t="str" cm="1">
        <f t="array" aca="1" ref="J121" ca="1">IF(INDIRECT("'"&amp;B121&amp;"'!E"&amp;C121)=0,"",INDIRECT("'"&amp;B121&amp;"'!E"&amp;C121))</f>
        <v>x</v>
      </c>
      <c r="K121" s="253" cm="1">
        <f t="array" aca="1" ref="K121" ca="1">IF(INDIRECT("'"&amp;B121&amp;"'!F"&amp;C121)=0,"N/A",INDIRECT("'"&amp;B121&amp;"'!F"&amp;C121))</f>
        <v>8.4</v>
      </c>
      <c r="L121" s="253" cm="1">
        <f t="array" aca="1" ref="L121" ca="1">IF(INDIRECT("'"&amp;B121&amp;"'!G"&amp;C121)=0,"N/A",INDIRECT("'"&amp;B121&amp;"'!G"&amp;C121))</f>
        <v>2</v>
      </c>
      <c r="M121" s="253" t="str" cm="1">
        <f t="array" aca="1" ref="M121" ca="1">IF(INDIRECT("'"&amp;B121&amp;"'!H"&amp;C121)=0,"N/A",INDIRECT("'"&amp;B121&amp;"'!H"&amp;C121))</f>
        <v>8.4 #2</v>
      </c>
      <c r="N121" s="221" t="str" cm="1">
        <f t="array" aca="1" ref="N121" ca="1">IF(INDIRECT("'"&amp;B121&amp;"'!I"&amp;C121)=0,"N/A",INDIRECT("'"&amp;B121&amp;"'!I"&amp;C121))</f>
        <v>จัดให้มีการควบคุมป้องกันทรัพย์สินด้าน IT ประเภทฮาร์ดแวร์ระหว่างที่ไม่มีผู้ใช้งาน (unattended user equipment) ให้มีความปลอดภัย โดยครอบคลุมการดำเนินการอย่างน้อย ดังนี้
    (1) ควบคุมเอกสาร อุปกรณ์ที่ใช้ปฏิบัติงาน หรือสื่อบันทึกข้อมูลต่าง ๆ ที่มีการจัดเก็บข้อมูลสำคัญหรือข้อมูลลับ ไม่ให้วางทิ้งไว้บนโต๊ะทำงานหรือสถานที่ไม่ปลอดภัยในขณะที่ไม่ได้ใช้งาน (clear desk)
    (2) ควบคุมหน้าจอคอมพิวเตอร์ไม่ให้มีข้อมูลสำคัญปรากฏในขณะที่ไม่ได้ใช้งาน (clear screen) เช่น การตัดออกจากระบบ (session time out) หรือการล็อคหน้าจอ (lock screen) อัตโนมัติ เมื่อไม่มีการใช้งานถึงระยะเวลาที่กำหนด เป็นต้น</v>
      </c>
      <c r="O121" s="533" t="str" cm="1">
        <f t="array" aca="1" ref="O121" ca="1">IF(INDIRECT("'"&amp;B121&amp;"'!N"&amp;C121)=0,"N/A",INDIRECT("'"&amp;B121&amp;"'!N"&amp;C121))</f>
        <v>Yes/Partial/No</v>
      </c>
      <c r="P121" s="527" t="str" cm="1">
        <f t="array" aca="1" ref="P121" ca="1">IF(INDIRECT("'"&amp;B121&amp;"'!L"&amp;C121)=0,"",INDIRECT("'"&amp;B121&amp;"'!L"&amp;C121))</f>
        <v/>
      </c>
      <c r="Q121" s="527" t="str">
        <f t="shared" ca="1" si="8"/>
        <v/>
      </c>
      <c r="R121" s="563" t="str">
        <f t="shared" ca="1" si="9"/>
        <v>Yes</v>
      </c>
      <c r="S121" s="528" t="s">
        <v>1580</v>
      </c>
      <c r="T121" s="529" t="str">
        <f t="shared" si="10"/>
        <v/>
      </c>
      <c r="U121" s="529" t="str">
        <f t="shared" si="11"/>
        <v/>
      </c>
      <c r="V121" s="529" t="str">
        <f t="shared" si="12"/>
        <v>X</v>
      </c>
      <c r="W121" s="529" t="str">
        <f t="shared" si="13"/>
        <v/>
      </c>
      <c r="X121" s="529" t="str">
        <f t="shared" si="14"/>
        <v/>
      </c>
      <c r="Y121" s="529" t="str">
        <f t="shared" si="15"/>
        <v/>
      </c>
    </row>
    <row r="122" spans="1:25" ht="37.6" x14ac:dyDescent="0.2">
      <c r="A122" s="253" t="s">
        <v>835</v>
      </c>
      <c r="B122" s="253" t="s">
        <v>1595</v>
      </c>
      <c r="C122" s="253">
        <v>30</v>
      </c>
      <c r="D122" s="253" t="s">
        <v>1579</v>
      </c>
      <c r="E122" s="253" t="s">
        <v>1600</v>
      </c>
      <c r="F122" s="253" t="s">
        <v>1571</v>
      </c>
      <c r="G122" s="215" t="str" cm="1">
        <f t="array" aca="1" ref="G122" ca="1">IF(INDIRECT("'"&amp;B122&amp;"'!B"&amp;C122)=0,"",INDIRECT("'"&amp;B122&amp;"'!B"&amp;C122))</f>
        <v>x</v>
      </c>
      <c r="H122" s="215" t="str" cm="1">
        <f t="array" aca="1" ref="H122" ca="1">IF(INDIRECT("'"&amp;B122&amp;"'!C"&amp;C122)=0,"",INDIRECT("'"&amp;B122&amp;"'!C"&amp;C122))</f>
        <v>x</v>
      </c>
      <c r="I122" s="215" t="str" cm="1">
        <f t="array" aca="1" ref="I122" ca="1">IF(INDIRECT("'"&amp;B122&amp;"'!D"&amp;C122)=0,"",INDIRECT("'"&amp;B122&amp;"'!D"&amp;C122))</f>
        <v>x</v>
      </c>
      <c r="J122" s="215" t="str" cm="1">
        <f t="array" aca="1" ref="J122" ca="1">IF(INDIRECT("'"&amp;B122&amp;"'!E"&amp;C122)=0,"",INDIRECT("'"&amp;B122&amp;"'!E"&amp;C122))</f>
        <v>x</v>
      </c>
      <c r="K122" s="253" cm="1">
        <f t="array" aca="1" ref="K122" ca="1">IF(INDIRECT("'"&amp;B122&amp;"'!F"&amp;C122)=0,"N/A",INDIRECT("'"&amp;B122&amp;"'!F"&amp;C122))</f>
        <v>8.4</v>
      </c>
      <c r="L122" s="253" cm="1">
        <f t="array" aca="1" ref="L122" ca="1">IF(INDIRECT("'"&amp;B122&amp;"'!G"&amp;C122)=0,"N/A",INDIRECT("'"&amp;B122&amp;"'!G"&amp;C122))</f>
        <v>3</v>
      </c>
      <c r="M122" s="253" t="str" cm="1">
        <f t="array" aca="1" ref="M122" ca="1">IF(INDIRECT("'"&amp;B122&amp;"'!H"&amp;C122)=0,"N/A",INDIRECT("'"&amp;B122&amp;"'!H"&amp;C122))</f>
        <v>8.4 #3</v>
      </c>
      <c r="N122" s="221" t="str" cm="1">
        <f t="array" aca="1" ref="N122" ca="1">IF(INDIRECT("'"&amp;B122&amp;"'!I"&amp;C122)=0,"N/A",INDIRECT("'"&amp;B122&amp;"'!I"&amp;C122))</f>
        <v>มีการกำหนดมาตรการรักษาความมั่นคงปลอดภัยในการใช้งาน IT  virtualization โดยครอบคลุม hypervisor, host operating system และ guest operating system พร้อมทั้งมีการรักษาความปลอดภัยของข้อมูลที่เกิดจากการใช้ IT  virtualization เช่น virtual machine image และ snapshot เป็นต้น อย่างเหมาะสม</v>
      </c>
      <c r="O122" s="533" t="str" cm="1">
        <f t="array" aca="1" ref="O122" ca="1">IF(INDIRECT("'"&amp;B122&amp;"'!N"&amp;C122)=0,"N/A",INDIRECT("'"&amp;B122&amp;"'!N"&amp;C122))</f>
        <v>Yes/Partial/No</v>
      </c>
      <c r="P122" s="527" t="str" cm="1">
        <f t="array" aca="1" ref="P122" ca="1">IF(INDIRECT("'"&amp;B122&amp;"'!L"&amp;C122)=0,"",INDIRECT("'"&amp;B122&amp;"'!L"&amp;C122))</f>
        <v/>
      </c>
      <c r="Q122" s="527" t="str">
        <f t="shared" ca="1" si="8"/>
        <v/>
      </c>
      <c r="R122" s="563" t="str">
        <f t="shared" ca="1" si="9"/>
        <v>Yes</v>
      </c>
      <c r="S122" s="528" t="s">
        <v>1580</v>
      </c>
      <c r="T122" s="529" t="str">
        <f t="shared" si="10"/>
        <v/>
      </c>
      <c r="U122" s="529" t="str">
        <f t="shared" si="11"/>
        <v/>
      </c>
      <c r="V122" s="529" t="str">
        <f t="shared" si="12"/>
        <v>X</v>
      </c>
      <c r="W122" s="529" t="str">
        <f t="shared" si="13"/>
        <v/>
      </c>
      <c r="X122" s="529" t="str">
        <f t="shared" si="14"/>
        <v/>
      </c>
      <c r="Y122" s="529" t="str">
        <f t="shared" si="15"/>
        <v/>
      </c>
    </row>
    <row r="123" spans="1:25" ht="50.1" x14ac:dyDescent="0.2">
      <c r="A123" s="253" t="s">
        <v>839</v>
      </c>
      <c r="B123" s="253" t="s">
        <v>1595</v>
      </c>
      <c r="C123" s="253">
        <v>31</v>
      </c>
      <c r="D123" s="253" t="s">
        <v>1579</v>
      </c>
      <c r="E123" s="253" t="s">
        <v>1600</v>
      </c>
      <c r="F123" s="253" t="s">
        <v>1574</v>
      </c>
      <c r="G123" s="215" t="str" cm="1">
        <f t="array" aca="1" ref="G123" ca="1">IF(INDIRECT("'"&amp;B123&amp;"'!B"&amp;C123)=0,"",INDIRECT("'"&amp;B123&amp;"'!B"&amp;C123))</f>
        <v>x</v>
      </c>
      <c r="H123" s="215" t="str" cm="1">
        <f t="array" aca="1" ref="H123" ca="1">IF(INDIRECT("'"&amp;B123&amp;"'!C"&amp;C123)=0,"",INDIRECT("'"&amp;B123&amp;"'!C"&amp;C123))</f>
        <v/>
      </c>
      <c r="I123" s="215" t="str" cm="1">
        <f t="array" aca="1" ref="I123" ca="1">IF(INDIRECT("'"&amp;B123&amp;"'!D"&amp;C123)=0,"",INDIRECT("'"&amp;B123&amp;"'!D"&amp;C123))</f>
        <v/>
      </c>
      <c r="J123" s="215" t="str" cm="1">
        <f t="array" aca="1" ref="J123" ca="1">IF(INDIRECT("'"&amp;B123&amp;"'!E"&amp;C123)=0,"",INDIRECT("'"&amp;B123&amp;"'!E"&amp;C123))</f>
        <v/>
      </c>
      <c r="K123" s="253" cm="1">
        <f t="array" aca="1" ref="K123" ca="1">IF(INDIRECT("'"&amp;B123&amp;"'!F"&amp;C123)=0,"N/A",INDIRECT("'"&amp;B123&amp;"'!F"&amp;C123))</f>
        <v>8.4</v>
      </c>
      <c r="L123" s="253" cm="1">
        <f t="array" aca="1" ref="L123" ca="1">IF(INDIRECT("'"&amp;B123&amp;"'!G"&amp;C123)=0,"N/A",INDIRECT("'"&amp;B123&amp;"'!G"&amp;C123))</f>
        <v>4</v>
      </c>
      <c r="M123" s="253" t="str" cm="1">
        <f t="array" aca="1" ref="M123" ca="1">IF(INDIRECT("'"&amp;B123&amp;"'!H"&amp;C123)=0,"N/A",INDIRECT("'"&amp;B123&amp;"'!H"&amp;C123))</f>
        <v>8.4 #4</v>
      </c>
      <c r="N123" s="221" t="str" cm="1">
        <f t="array" aca="1" ref="N123" ca="1">IF(INDIRECT("'"&amp;B123&amp;"'!I"&amp;C123)=0,"N/A",INDIRECT("'"&amp;B123&amp;"'!I"&amp;C123))</f>
        <v>มีการติดตั้งระบบหรือเครื่องมือตรวจจับภัยคุกคามซึ่งสามารถวิเคราะห์พฤติกรรมผิดปกติ ตรวจจับภัยคุกคาม และจัดเก็บข้อมูลหลักฐาน เพื่อช่วยให้สามารถตอบสนองต่อภัยคุกคามทางไซเบอร์ได้อย่างทันการณ์ เช่น การติดตั้งระบบ endpoint detection &amp; response (EDR) หรือระบบ host-based intrusion prevention system (HIPS) เป็นต้น</v>
      </c>
      <c r="O123" s="533" t="str" cm="1">
        <f t="array" aca="1" ref="O123" ca="1">IF(INDIRECT("'"&amp;B123&amp;"'!N"&amp;C123)=0,"N/A",INDIRECT("'"&amp;B123&amp;"'!N"&amp;C123))</f>
        <v>Yes/Partial/No</v>
      </c>
      <c r="P123" s="527" t="str" cm="1">
        <f t="array" aca="1" ref="P123" ca="1">IF(INDIRECT("'"&amp;B123&amp;"'!L"&amp;C123)=0,"",INDIRECT("'"&amp;B123&amp;"'!L"&amp;C123))</f>
        <v/>
      </c>
      <c r="Q123" s="527" t="str">
        <f t="shared" ca="1" si="8"/>
        <v/>
      </c>
      <c r="R123" s="563" t="str">
        <f t="shared" ca="1" si="9"/>
        <v>Yes</v>
      </c>
      <c r="S123" s="528" t="s">
        <v>1602</v>
      </c>
      <c r="T123" s="529" t="str">
        <f t="shared" si="10"/>
        <v/>
      </c>
      <c r="U123" s="529" t="str">
        <f t="shared" si="11"/>
        <v/>
      </c>
      <c r="V123" s="529" t="str">
        <f t="shared" si="12"/>
        <v/>
      </c>
      <c r="W123" s="529" t="str">
        <f t="shared" si="13"/>
        <v>X</v>
      </c>
      <c r="X123" s="529" t="str">
        <f t="shared" si="14"/>
        <v>X</v>
      </c>
      <c r="Y123" s="529" t="str">
        <f t="shared" si="15"/>
        <v/>
      </c>
    </row>
    <row r="124" spans="1:25" ht="37.6" x14ac:dyDescent="0.2">
      <c r="A124" s="253" t="s">
        <v>843</v>
      </c>
      <c r="B124" s="253" t="s">
        <v>1595</v>
      </c>
      <c r="C124" s="253">
        <v>32</v>
      </c>
      <c r="D124" s="253" t="s">
        <v>1579</v>
      </c>
      <c r="E124" s="253" t="s">
        <v>1600</v>
      </c>
      <c r="F124" s="253" t="s">
        <v>1574</v>
      </c>
      <c r="G124" s="215" t="str" cm="1">
        <f t="array" aca="1" ref="G124" ca="1">IF(INDIRECT("'"&amp;B124&amp;"'!B"&amp;C124)=0,"",INDIRECT("'"&amp;B124&amp;"'!B"&amp;C124))</f>
        <v>x</v>
      </c>
      <c r="H124" s="215" t="str" cm="1">
        <f t="array" aca="1" ref="H124" ca="1">IF(INDIRECT("'"&amp;B124&amp;"'!C"&amp;C124)=0,"",INDIRECT("'"&amp;B124&amp;"'!C"&amp;C124))</f>
        <v/>
      </c>
      <c r="I124" s="215" t="str" cm="1">
        <f t="array" aca="1" ref="I124" ca="1">IF(INDIRECT("'"&amp;B124&amp;"'!D"&amp;C124)=0,"",INDIRECT("'"&amp;B124&amp;"'!D"&amp;C124))</f>
        <v/>
      </c>
      <c r="J124" s="215" t="str" cm="1">
        <f t="array" aca="1" ref="J124" ca="1">IF(INDIRECT("'"&amp;B124&amp;"'!E"&amp;C124)=0,"",INDIRECT("'"&amp;B124&amp;"'!E"&amp;C124))</f>
        <v/>
      </c>
      <c r="K124" s="253" cm="1">
        <f t="array" aca="1" ref="K124" ca="1">IF(INDIRECT("'"&amp;B124&amp;"'!F"&amp;C124)=0,"N/A",INDIRECT("'"&amp;B124&amp;"'!F"&amp;C124))</f>
        <v>8.4</v>
      </c>
      <c r="L124" s="253" cm="1">
        <f t="array" aca="1" ref="L124" ca="1">IF(INDIRECT("'"&amp;B124&amp;"'!G"&amp;C124)=0,"N/A",INDIRECT("'"&amp;B124&amp;"'!G"&amp;C124))</f>
        <v>5</v>
      </c>
      <c r="M124" s="253" t="str" cm="1">
        <f t="array" aca="1" ref="M124" ca="1">IF(INDIRECT("'"&amp;B124&amp;"'!H"&amp;C124)=0,"N/A",INDIRECT("'"&amp;B124&amp;"'!H"&amp;C124))</f>
        <v>8.4 #5</v>
      </c>
      <c r="N124" s="221" t="str" cm="1">
        <f t="array" aca="1" ref="N124" ca="1">IF(INDIRECT("'"&amp;B124&amp;"'!I"&amp;C124)=0,"N/A",INDIRECT("'"&amp;B124&amp;"'!I"&amp;C124))</f>
        <v>มีการกำหนดกระบวนการหรือเครื่องมือป้องกันข้อมูลสำคัญรั่วไหล (data leak prevention) จากการส่งข้อมูลออกโดยไม่ได้รับอนุญาตผ่านช่องทางต่าง ๆ เช่น อุปกรณ์พกพาและสื่อบันทึกข้อมูล อีเมล และโปรแกรมการประชุมและสื่อสารผ่านสื่ออิเล็กทรอนิกส์ (online communication tool) เป็นต้น</v>
      </c>
      <c r="O124" s="533" t="str" cm="1">
        <f t="array" aca="1" ref="O124" ca="1">IF(INDIRECT("'"&amp;B124&amp;"'!N"&amp;C124)=0,"N/A",INDIRECT("'"&amp;B124&amp;"'!N"&amp;C124))</f>
        <v>Yes/Partial/No</v>
      </c>
      <c r="P124" s="527" t="str" cm="1">
        <f t="array" aca="1" ref="P124" ca="1">IF(INDIRECT("'"&amp;B124&amp;"'!L"&amp;C124)=0,"",INDIRECT("'"&amp;B124&amp;"'!L"&amp;C124))</f>
        <v/>
      </c>
      <c r="Q124" s="527" t="str">
        <f t="shared" ca="1" si="8"/>
        <v/>
      </c>
      <c r="R124" s="563" t="str">
        <f t="shared" ca="1" si="9"/>
        <v>Yes</v>
      </c>
      <c r="S124" s="528" t="s">
        <v>1603</v>
      </c>
      <c r="T124" s="529" t="str">
        <f t="shared" si="10"/>
        <v/>
      </c>
      <c r="U124" s="529" t="str">
        <f t="shared" si="11"/>
        <v/>
      </c>
      <c r="V124" s="529" t="str">
        <f t="shared" si="12"/>
        <v>X</v>
      </c>
      <c r="W124" s="529" t="str">
        <f t="shared" si="13"/>
        <v>X</v>
      </c>
      <c r="X124" s="529" t="str">
        <f t="shared" si="14"/>
        <v/>
      </c>
      <c r="Y124" s="529" t="str">
        <f t="shared" si="15"/>
        <v/>
      </c>
    </row>
    <row r="125" spans="1:25" ht="37.6" x14ac:dyDescent="0.2">
      <c r="A125" s="253" t="s">
        <v>847</v>
      </c>
      <c r="B125" s="253" t="s">
        <v>1595</v>
      </c>
      <c r="C125" s="253">
        <v>33</v>
      </c>
      <c r="D125" s="253" t="s">
        <v>1579</v>
      </c>
      <c r="E125" s="253" t="s">
        <v>1600</v>
      </c>
      <c r="F125" s="253" t="s">
        <v>1574</v>
      </c>
      <c r="G125" s="215" t="str" cm="1">
        <f t="array" aca="1" ref="G125" ca="1">IF(INDIRECT("'"&amp;B125&amp;"'!B"&amp;C125)=0,"",INDIRECT("'"&amp;B125&amp;"'!B"&amp;C125))</f>
        <v>x</v>
      </c>
      <c r="H125" s="215" t="str" cm="1">
        <f t="array" aca="1" ref="H125" ca="1">IF(INDIRECT("'"&amp;B125&amp;"'!C"&amp;C125)=0,"",INDIRECT("'"&amp;B125&amp;"'!C"&amp;C125))</f>
        <v/>
      </c>
      <c r="I125" s="215" t="str" cm="1">
        <f t="array" aca="1" ref="I125" ca="1">IF(INDIRECT("'"&amp;B125&amp;"'!D"&amp;C125)=0,"",INDIRECT("'"&amp;B125&amp;"'!D"&amp;C125))</f>
        <v/>
      </c>
      <c r="J125" s="215" t="str" cm="1">
        <f t="array" aca="1" ref="J125" ca="1">IF(INDIRECT("'"&amp;B125&amp;"'!E"&amp;C125)=0,"",INDIRECT("'"&amp;B125&amp;"'!E"&amp;C125))</f>
        <v/>
      </c>
      <c r="K125" s="253" cm="1">
        <f t="array" aca="1" ref="K125" ca="1">IF(INDIRECT("'"&amp;B125&amp;"'!F"&amp;C125)=0,"N/A",INDIRECT("'"&amp;B125&amp;"'!F"&amp;C125))</f>
        <v>8.4</v>
      </c>
      <c r="L125" s="253" cm="1">
        <f t="array" aca="1" ref="L125" ca="1">IF(INDIRECT("'"&amp;B125&amp;"'!G"&amp;C125)=0,"N/A",INDIRECT("'"&amp;B125&amp;"'!G"&amp;C125))</f>
        <v>6</v>
      </c>
      <c r="M125" s="253" t="str" cm="1">
        <f t="array" aca="1" ref="M125" ca="1">IF(INDIRECT("'"&amp;B125&amp;"'!H"&amp;C125)=0,"N/A",INDIRECT("'"&amp;B125&amp;"'!H"&amp;C125))</f>
        <v>8.4 #6</v>
      </c>
      <c r="N125" s="221" t="str" cm="1">
        <f t="array" aca="1" ref="N125" ca="1">IF(INDIRECT("'"&amp;B125&amp;"'!I"&amp;C125)=0,"N/A",INDIRECT("'"&amp;B125&amp;"'!I"&amp;C125))</f>
        <v>กรณีที่มีฟังก์ชันให้ปิดการใช้งานพอร์ตการเชื่อมต่อของเครื่องแม่ข่าย และอุปกรณ์ที่ใช้ในการปฏิบัติงาน ให้ปิดพอร์ตการเชื่อมต่อภายนอกทั้งหมด (เช่น พอร์ต USB เป็นต้น) ที่รองรับการเชื่อมต่อกับสื่อบันทึกข้อมูลพกพา (removable media) โดยให้เปิดใช้งานตามความจำเป็นและได้รับอนุมัติโดยผู้มีอำนาจเท่านั้น</v>
      </c>
      <c r="O125" s="533" t="str" cm="1">
        <f t="array" aca="1" ref="O125" ca="1">IF(INDIRECT("'"&amp;B125&amp;"'!N"&amp;C125)=0,"N/A",INDIRECT("'"&amp;B125&amp;"'!N"&amp;C125))</f>
        <v>Yes/Partial/No</v>
      </c>
      <c r="P125" s="527" t="str" cm="1">
        <f t="array" aca="1" ref="P125" ca="1">IF(INDIRECT("'"&amp;B125&amp;"'!L"&amp;C125)=0,"",INDIRECT("'"&amp;B125&amp;"'!L"&amp;C125))</f>
        <v/>
      </c>
      <c r="Q125" s="527" t="str">
        <f t="shared" ca="1" si="8"/>
        <v/>
      </c>
      <c r="R125" s="563" t="str">
        <f t="shared" ca="1" si="9"/>
        <v>Yes</v>
      </c>
      <c r="S125" s="528" t="s">
        <v>1580</v>
      </c>
      <c r="T125" s="529" t="str">
        <f t="shared" si="10"/>
        <v/>
      </c>
      <c r="U125" s="529" t="str">
        <f t="shared" si="11"/>
        <v/>
      </c>
      <c r="V125" s="529" t="str">
        <f t="shared" si="12"/>
        <v>X</v>
      </c>
      <c r="W125" s="529" t="str">
        <f t="shared" si="13"/>
        <v/>
      </c>
      <c r="X125" s="529" t="str">
        <f t="shared" si="14"/>
        <v/>
      </c>
      <c r="Y125" s="529" t="str">
        <f t="shared" si="15"/>
        <v/>
      </c>
    </row>
    <row r="126" spans="1:25" ht="37.6" x14ac:dyDescent="0.2">
      <c r="A126" s="253" t="s">
        <v>852</v>
      </c>
      <c r="B126" s="253" t="s">
        <v>1595</v>
      </c>
      <c r="C126" s="253">
        <v>35</v>
      </c>
      <c r="D126" s="253" t="s">
        <v>1579</v>
      </c>
      <c r="E126" s="253" t="s">
        <v>1604</v>
      </c>
      <c r="F126" s="253" t="s">
        <v>1571</v>
      </c>
      <c r="G126" s="215" t="str" cm="1">
        <f t="array" aca="1" ref="G126" ca="1">IF(INDIRECT("'"&amp;B126&amp;"'!B"&amp;C126)=0,"",INDIRECT("'"&amp;B126&amp;"'!B"&amp;C126))</f>
        <v>x</v>
      </c>
      <c r="H126" s="215" t="str" cm="1">
        <f t="array" aca="1" ref="H126" ca="1">IF(INDIRECT("'"&amp;B126&amp;"'!C"&amp;C126)=0,"",INDIRECT("'"&amp;B126&amp;"'!C"&amp;C126))</f>
        <v>x</v>
      </c>
      <c r="I126" s="215" t="str" cm="1">
        <f t="array" aca="1" ref="I126" ca="1">IF(INDIRECT("'"&amp;B126&amp;"'!D"&amp;C126)=0,"",INDIRECT("'"&amp;B126&amp;"'!D"&amp;C126))</f>
        <v>x</v>
      </c>
      <c r="J126" s="215" t="str" cm="1">
        <f t="array" aca="1" ref="J126" ca="1">IF(INDIRECT("'"&amp;B126&amp;"'!E"&amp;C126)=0,"",INDIRECT("'"&amp;B126&amp;"'!E"&amp;C126))</f>
        <v/>
      </c>
      <c r="K126" s="253" cm="1">
        <f t="array" aca="1" ref="K126" ca="1">IF(INDIRECT("'"&amp;B126&amp;"'!F"&amp;C126)=0,"N/A",INDIRECT("'"&amp;B126&amp;"'!F"&amp;C126))</f>
        <v>8.5</v>
      </c>
      <c r="L126" s="253" t="str" cm="1">
        <f t="array" aca="1" ref="L126" ca="1">IF(INDIRECT("'"&amp;B126&amp;"'!G"&amp;C126)=0,"N/A",INDIRECT("'"&amp;B126&amp;"'!G"&amp;C126))</f>
        <v>1(1)</v>
      </c>
      <c r="M126" s="253" t="str" cm="1">
        <f t="array" aca="1" ref="M126" ca="1">IF(INDIRECT("'"&amp;B126&amp;"'!H"&amp;C126)=0,"N/A",INDIRECT("'"&amp;B126&amp;"'!H"&amp;C126))</f>
        <v>8.5 #1(1)</v>
      </c>
      <c r="N126" s="221" t="str" cm="1">
        <f t="array" aca="1" ref="N126" ca="1">IF(INDIRECT("'"&amp;B126&amp;"'!I"&amp;C126)=0,"N/A",INDIRECT("'"&amp;B126&amp;"'!I"&amp;C126))</f>
        <v xml:space="preserve">การปฏิบัติงานจากเครือข่ายภายนอก (teleworking) 
มีมาตรการรักษาความมั่นคงปลอดภัยด้านกายภาพที่เหมาะสม รัดกุมเพียงพอกับขอบเขตการปฏิบัติงาน สำหรับพื้นที่ปฏิบัติงานนอกองค์กร </v>
      </c>
      <c r="O126" s="533" t="str" cm="1">
        <f t="array" aca="1" ref="O126" ca="1">IF(INDIRECT("'"&amp;B126&amp;"'!N"&amp;C126)=0,"N/A",INDIRECT("'"&amp;B126&amp;"'!N"&amp;C126))</f>
        <v>Yes/Partial/No</v>
      </c>
      <c r="P126" s="527" t="str" cm="1">
        <f t="array" aca="1" ref="P126" ca="1">IF(INDIRECT("'"&amp;B126&amp;"'!L"&amp;C126)=0,"",INDIRECT("'"&amp;B126&amp;"'!L"&amp;C126))</f>
        <v/>
      </c>
      <c r="Q126" s="527" t="str">
        <f t="shared" ca="1" si="8"/>
        <v/>
      </c>
      <c r="R126" s="563" t="str">
        <f t="shared" ca="1" si="9"/>
        <v>Yes</v>
      </c>
      <c r="S126" s="528" t="s">
        <v>1572</v>
      </c>
      <c r="T126" s="529" t="str">
        <f t="shared" si="10"/>
        <v>X</v>
      </c>
      <c r="U126" s="529" t="str">
        <f t="shared" si="11"/>
        <v/>
      </c>
      <c r="V126" s="529" t="str">
        <f t="shared" si="12"/>
        <v/>
      </c>
      <c r="W126" s="529" t="str">
        <f t="shared" si="13"/>
        <v/>
      </c>
      <c r="X126" s="529" t="str">
        <f t="shared" si="14"/>
        <v/>
      </c>
      <c r="Y126" s="529" t="str">
        <f t="shared" si="15"/>
        <v/>
      </c>
    </row>
    <row r="127" spans="1:25" ht="25.05" x14ac:dyDescent="0.2">
      <c r="A127" s="253" t="s">
        <v>856</v>
      </c>
      <c r="B127" s="253" t="s">
        <v>1595</v>
      </c>
      <c r="C127" s="253">
        <v>36</v>
      </c>
      <c r="D127" s="253" t="s">
        <v>1579</v>
      </c>
      <c r="E127" s="253" t="s">
        <v>1604</v>
      </c>
      <c r="F127" s="253" t="s">
        <v>1571</v>
      </c>
      <c r="G127" s="215" t="str" cm="1">
        <f t="array" aca="1" ref="G127" ca="1">IF(INDIRECT("'"&amp;B127&amp;"'!B"&amp;C127)=0,"",INDIRECT("'"&amp;B127&amp;"'!B"&amp;C127))</f>
        <v>x</v>
      </c>
      <c r="H127" s="215" t="str" cm="1">
        <f t="array" aca="1" ref="H127" ca="1">IF(INDIRECT("'"&amp;B127&amp;"'!C"&amp;C127)=0,"",INDIRECT("'"&amp;B127&amp;"'!C"&amp;C127))</f>
        <v>x</v>
      </c>
      <c r="I127" s="215" t="str" cm="1">
        <f t="array" aca="1" ref="I127" ca="1">IF(INDIRECT("'"&amp;B127&amp;"'!D"&amp;C127)=0,"",INDIRECT("'"&amp;B127&amp;"'!D"&amp;C127))</f>
        <v>x</v>
      </c>
      <c r="J127" s="215" t="str" cm="1">
        <f t="array" aca="1" ref="J127" ca="1">IF(INDIRECT("'"&amp;B127&amp;"'!E"&amp;C127)=0,"",INDIRECT("'"&amp;B127&amp;"'!E"&amp;C127))</f>
        <v/>
      </c>
      <c r="K127" s="253" cm="1">
        <f t="array" aca="1" ref="K127" ca="1">IF(INDIRECT("'"&amp;B127&amp;"'!F"&amp;C127)=0,"N/A",INDIRECT("'"&amp;B127&amp;"'!F"&amp;C127))</f>
        <v>8.5</v>
      </c>
      <c r="L127" s="253" t="str" cm="1">
        <f t="array" aca="1" ref="L127" ca="1">IF(INDIRECT("'"&amp;B127&amp;"'!G"&amp;C127)=0,"N/A",INDIRECT("'"&amp;B127&amp;"'!G"&amp;C127))</f>
        <v>1(2)</v>
      </c>
      <c r="M127" s="253" t="str" cm="1">
        <f t="array" aca="1" ref="M127" ca="1">IF(INDIRECT("'"&amp;B127&amp;"'!H"&amp;C127)=0,"N/A",INDIRECT("'"&amp;B127&amp;"'!H"&amp;C127))</f>
        <v>8.5 #1(2)</v>
      </c>
      <c r="N127" s="221" t="str" cm="1">
        <f t="array" aca="1" ref="N127" ca="1">IF(INDIRECT("'"&amp;B127&amp;"'!I"&amp;C127)=0,"N/A",INDIRECT("'"&amp;B127&amp;"'!I"&amp;C127))</f>
        <v>การปฏิบัติงานจากเครือข่ายภายนอก (teleworking) 
มีการลงทะเบียน และขออนุมัติการปฏิบัติงานจากเครือข่ายภายนอกบริษัทจากผู้มีอำนาจหรือผู้บริหารที่เกี่ยวข้อง</v>
      </c>
      <c r="O127" s="533" t="str" cm="1">
        <f t="array" aca="1" ref="O127" ca="1">IF(INDIRECT("'"&amp;B127&amp;"'!N"&amp;C127)=0,"N/A",INDIRECT("'"&amp;B127&amp;"'!N"&amp;C127))</f>
        <v>Yes/Partial/No</v>
      </c>
      <c r="P127" s="527" t="str" cm="1">
        <f t="array" aca="1" ref="P127" ca="1">IF(INDIRECT("'"&amp;B127&amp;"'!L"&amp;C127)=0,"",INDIRECT("'"&amp;B127&amp;"'!L"&amp;C127))</f>
        <v/>
      </c>
      <c r="Q127" s="527" t="str">
        <f t="shared" ca="1" si="8"/>
        <v/>
      </c>
      <c r="R127" s="563" t="str">
        <f t="shared" ca="1" si="9"/>
        <v>Yes</v>
      </c>
      <c r="S127" s="528" t="s">
        <v>1598</v>
      </c>
      <c r="T127" s="529" t="str">
        <f t="shared" si="10"/>
        <v>X</v>
      </c>
      <c r="U127" s="529" t="str">
        <f t="shared" si="11"/>
        <v>X</v>
      </c>
      <c r="V127" s="529" t="str">
        <f t="shared" si="12"/>
        <v/>
      </c>
      <c r="W127" s="529" t="str">
        <f t="shared" si="13"/>
        <v/>
      </c>
      <c r="X127" s="529" t="str">
        <f t="shared" si="14"/>
        <v/>
      </c>
      <c r="Y127" s="529" t="str">
        <f t="shared" si="15"/>
        <v/>
      </c>
    </row>
    <row r="128" spans="1:25" ht="37.6" x14ac:dyDescent="0.2">
      <c r="A128" s="253" t="s">
        <v>860</v>
      </c>
      <c r="B128" s="253" t="s">
        <v>1595</v>
      </c>
      <c r="C128" s="253">
        <v>37</v>
      </c>
      <c r="D128" s="253" t="s">
        <v>1579</v>
      </c>
      <c r="E128" s="253" t="s">
        <v>1604</v>
      </c>
      <c r="F128" s="253" t="s">
        <v>1571</v>
      </c>
      <c r="G128" s="215" t="str" cm="1">
        <f t="array" aca="1" ref="G128" ca="1">IF(INDIRECT("'"&amp;B128&amp;"'!B"&amp;C128)=0,"",INDIRECT("'"&amp;B128&amp;"'!B"&amp;C128))</f>
        <v>x</v>
      </c>
      <c r="H128" s="215" t="str" cm="1">
        <f t="array" aca="1" ref="H128" ca="1">IF(INDIRECT("'"&amp;B128&amp;"'!C"&amp;C128)=0,"",INDIRECT("'"&amp;B128&amp;"'!C"&amp;C128))</f>
        <v>x</v>
      </c>
      <c r="I128" s="215" t="str" cm="1">
        <f t="array" aca="1" ref="I128" ca="1">IF(INDIRECT("'"&amp;B128&amp;"'!D"&amp;C128)=0,"",INDIRECT("'"&amp;B128&amp;"'!D"&amp;C128))</f>
        <v>x</v>
      </c>
      <c r="J128" s="215" t="str" cm="1">
        <f t="array" aca="1" ref="J128" ca="1">IF(INDIRECT("'"&amp;B128&amp;"'!E"&amp;C128)=0,"",INDIRECT("'"&amp;B128&amp;"'!E"&amp;C128))</f>
        <v/>
      </c>
      <c r="K128" s="253" cm="1">
        <f t="array" aca="1" ref="K128" ca="1">IF(INDIRECT("'"&amp;B128&amp;"'!F"&amp;C128)=0,"N/A",INDIRECT("'"&amp;B128&amp;"'!F"&amp;C128))</f>
        <v>8.5</v>
      </c>
      <c r="L128" s="253" t="str" cm="1">
        <f t="array" aca="1" ref="L128" ca="1">IF(INDIRECT("'"&amp;B128&amp;"'!G"&amp;C128)=0,"N/A",INDIRECT("'"&amp;B128&amp;"'!G"&amp;C128))</f>
        <v>1(3)</v>
      </c>
      <c r="M128" s="253" t="str" cm="1">
        <f t="array" aca="1" ref="M128" ca="1">IF(INDIRECT("'"&amp;B128&amp;"'!H"&amp;C128)=0,"N/A",INDIRECT("'"&amp;B128&amp;"'!H"&amp;C128))</f>
        <v>8.5 #1(3)</v>
      </c>
      <c r="N128" s="221" t="str" cm="1">
        <f t="array" aca="1" ref="N128" ca="1">IF(INDIRECT("'"&amp;B128&amp;"'!I"&amp;C128)=0,"N/A",INDIRECT("'"&amp;B128&amp;"'!I"&amp;C128))</f>
        <v>การปฏิบัติงานจากเครือข่ายภายนอก (teleworking) 
มีการกำหนดสิทธิการเข้าถึงข้อมูลและระบบ IT จากเครือข่ายภายนอกบริษัทเท่าที่จำเป็น พร้อมทั้งมีการทบทวนสิทธิอย่างสม่ำเสมอ</v>
      </c>
      <c r="O128" s="533" t="str" cm="1">
        <f t="array" aca="1" ref="O128" ca="1">IF(INDIRECT("'"&amp;B128&amp;"'!N"&amp;C128)=0,"N/A",INDIRECT("'"&amp;B128&amp;"'!N"&amp;C128))</f>
        <v>Yes/Partial/No</v>
      </c>
      <c r="P128" s="527" t="str" cm="1">
        <f t="array" aca="1" ref="P128" ca="1">IF(INDIRECT("'"&amp;B128&amp;"'!L"&amp;C128)=0,"",INDIRECT("'"&amp;B128&amp;"'!L"&amp;C128))</f>
        <v/>
      </c>
      <c r="Q128" s="527" t="str">
        <f t="shared" ca="1" si="8"/>
        <v/>
      </c>
      <c r="R128" s="563" t="str">
        <f t="shared" ca="1" si="9"/>
        <v>Yes</v>
      </c>
      <c r="S128" s="528" t="s">
        <v>1580</v>
      </c>
      <c r="T128" s="529" t="str">
        <f t="shared" si="10"/>
        <v/>
      </c>
      <c r="U128" s="529" t="str">
        <f t="shared" si="11"/>
        <v/>
      </c>
      <c r="V128" s="529" t="str">
        <f t="shared" si="12"/>
        <v>X</v>
      </c>
      <c r="W128" s="529" t="str">
        <f t="shared" si="13"/>
        <v/>
      </c>
      <c r="X128" s="529" t="str">
        <f t="shared" si="14"/>
        <v/>
      </c>
      <c r="Y128" s="529" t="str">
        <f t="shared" si="15"/>
        <v/>
      </c>
    </row>
    <row r="129" spans="1:25" ht="50.1" x14ac:dyDescent="0.2">
      <c r="A129" s="253" t="s">
        <v>864</v>
      </c>
      <c r="B129" s="253" t="s">
        <v>1595</v>
      </c>
      <c r="C129" s="253">
        <v>38</v>
      </c>
      <c r="D129" s="253" t="s">
        <v>1579</v>
      </c>
      <c r="E129" s="253" t="s">
        <v>1604</v>
      </c>
      <c r="F129" s="253" t="s">
        <v>1571</v>
      </c>
      <c r="G129" s="215" t="str" cm="1">
        <f t="array" aca="1" ref="G129" ca="1">IF(INDIRECT("'"&amp;B129&amp;"'!B"&amp;C129)=0,"",INDIRECT("'"&amp;B129&amp;"'!B"&amp;C129))</f>
        <v>x</v>
      </c>
      <c r="H129" s="215" t="str" cm="1">
        <f t="array" aca="1" ref="H129" ca="1">IF(INDIRECT("'"&amp;B129&amp;"'!C"&amp;C129)=0,"",INDIRECT("'"&amp;B129&amp;"'!C"&amp;C129))</f>
        <v>x</v>
      </c>
      <c r="I129" s="215" t="str" cm="1">
        <f t="array" aca="1" ref="I129" ca="1">IF(INDIRECT("'"&amp;B129&amp;"'!D"&amp;C129)=0,"",INDIRECT("'"&amp;B129&amp;"'!D"&amp;C129))</f>
        <v>x</v>
      </c>
      <c r="J129" s="215" t="str" cm="1">
        <f t="array" aca="1" ref="J129" ca="1">IF(INDIRECT("'"&amp;B129&amp;"'!E"&amp;C129)=0,"",INDIRECT("'"&amp;B129&amp;"'!E"&amp;C129))</f>
        <v/>
      </c>
      <c r="K129" s="253" cm="1">
        <f t="array" aca="1" ref="K129" ca="1">IF(INDIRECT("'"&amp;B129&amp;"'!F"&amp;C129)=0,"N/A",INDIRECT("'"&amp;B129&amp;"'!F"&amp;C129))</f>
        <v>8.5</v>
      </c>
      <c r="L129" s="253" t="str" cm="1">
        <f t="array" aca="1" ref="L129" ca="1">IF(INDIRECT("'"&amp;B129&amp;"'!G"&amp;C129)=0,"N/A",INDIRECT("'"&amp;B129&amp;"'!G"&amp;C129))</f>
        <v>1(4)</v>
      </c>
      <c r="M129" s="253" t="str" cm="1">
        <f t="array" aca="1" ref="M129" ca="1">IF(INDIRECT("'"&amp;B129&amp;"'!H"&amp;C129)=0,"N/A",INDIRECT("'"&amp;B129&amp;"'!H"&amp;C129))</f>
        <v>8.5 #1(4)</v>
      </c>
      <c r="N129" s="221" t="str" cm="1">
        <f t="array" aca="1" ref="N129" ca="1">IF(INDIRECT("'"&amp;B129&amp;"'!I"&amp;C129)=0,"N/A",INDIRECT("'"&amp;B129&amp;"'!I"&amp;C129))</f>
        <v>การปฏิบัติงานจากเครือข่ายภายนอก (teleworking) 
มีการยืนยันตัวตน (authentication) พนักงานหรือผู้ปฎิบัติงาน ที่ได้รับอนุญาตให้ปฏิบัติงานจากภายนอกบริษัทด้วยวิธีการที่รัดกุมปลอดภัย เช่น การใช้วิธียืนยันตัวตนแบบหลายปัจจัย (multi-factor authentication : MFA) และการเข้าใช้งานผ่านอุปกรณ์ที่อนุญาตเท่านั้น เป็นต้น</v>
      </c>
      <c r="O129" s="533" t="str" cm="1">
        <f t="array" aca="1" ref="O129" ca="1">IF(INDIRECT("'"&amp;B129&amp;"'!N"&amp;C129)=0,"N/A",INDIRECT("'"&amp;B129&amp;"'!N"&amp;C129))</f>
        <v>Yes/Partial/No</v>
      </c>
      <c r="P129" s="527" t="str" cm="1">
        <f t="array" aca="1" ref="P129" ca="1">IF(INDIRECT("'"&amp;B129&amp;"'!L"&amp;C129)=0,"",INDIRECT("'"&amp;B129&amp;"'!L"&amp;C129))</f>
        <v/>
      </c>
      <c r="Q129" s="527" t="str">
        <f t="shared" ca="1" si="8"/>
        <v/>
      </c>
      <c r="R129" s="563" t="str">
        <f t="shared" ca="1" si="9"/>
        <v>Yes</v>
      </c>
      <c r="S129" s="528" t="s">
        <v>1580</v>
      </c>
      <c r="T129" s="529" t="str">
        <f t="shared" si="10"/>
        <v/>
      </c>
      <c r="U129" s="529" t="str">
        <f t="shared" si="11"/>
        <v/>
      </c>
      <c r="V129" s="529" t="str">
        <f t="shared" si="12"/>
        <v>X</v>
      </c>
      <c r="W129" s="529" t="str">
        <f t="shared" si="13"/>
        <v/>
      </c>
      <c r="X129" s="529" t="str">
        <f t="shared" si="14"/>
        <v/>
      </c>
      <c r="Y129" s="529" t="str">
        <f t="shared" si="15"/>
        <v/>
      </c>
    </row>
    <row r="130" spans="1:25" ht="37.6" x14ac:dyDescent="0.2">
      <c r="A130" s="253" t="s">
        <v>868</v>
      </c>
      <c r="B130" s="253" t="s">
        <v>1595</v>
      </c>
      <c r="C130" s="253">
        <v>39</v>
      </c>
      <c r="D130" s="253" t="s">
        <v>1579</v>
      </c>
      <c r="E130" s="253" t="s">
        <v>1604</v>
      </c>
      <c r="F130" s="253" t="s">
        <v>1571</v>
      </c>
      <c r="G130" s="215" t="str" cm="1">
        <f t="array" aca="1" ref="G130" ca="1">IF(INDIRECT("'"&amp;B130&amp;"'!B"&amp;C130)=0,"",INDIRECT("'"&amp;B130&amp;"'!B"&amp;C130))</f>
        <v>x</v>
      </c>
      <c r="H130" s="215" t="str" cm="1">
        <f t="array" aca="1" ref="H130" ca="1">IF(INDIRECT("'"&amp;B130&amp;"'!C"&amp;C130)=0,"",INDIRECT("'"&amp;B130&amp;"'!C"&amp;C130))</f>
        <v>x</v>
      </c>
      <c r="I130" s="215" t="str" cm="1">
        <f t="array" aca="1" ref="I130" ca="1">IF(INDIRECT("'"&amp;B130&amp;"'!D"&amp;C130)=0,"",INDIRECT("'"&amp;B130&amp;"'!D"&amp;C130))</f>
        <v>x</v>
      </c>
      <c r="J130" s="215" t="str" cm="1">
        <f t="array" aca="1" ref="J130" ca="1">IF(INDIRECT("'"&amp;B130&amp;"'!E"&amp;C130)=0,"",INDIRECT("'"&amp;B130&amp;"'!E"&amp;C130))</f>
        <v/>
      </c>
      <c r="K130" s="253" cm="1">
        <f t="array" aca="1" ref="K130" ca="1">IF(INDIRECT("'"&amp;B130&amp;"'!F"&amp;C130)=0,"N/A",INDIRECT("'"&amp;B130&amp;"'!F"&amp;C130))</f>
        <v>8.5</v>
      </c>
      <c r="L130" s="253" t="str" cm="1">
        <f t="array" aca="1" ref="L130" ca="1">IF(INDIRECT("'"&amp;B130&amp;"'!G"&amp;C130)=0,"N/A",INDIRECT("'"&amp;B130&amp;"'!G"&amp;C130))</f>
        <v>1(5)</v>
      </c>
      <c r="M130" s="253" t="str" cm="1">
        <f t="array" aca="1" ref="M130" ca="1">IF(INDIRECT("'"&amp;B130&amp;"'!H"&amp;C130)=0,"N/A",INDIRECT("'"&amp;B130&amp;"'!H"&amp;C130))</f>
        <v>8.5 #1(5)</v>
      </c>
      <c r="N130" s="221" t="str" cm="1">
        <f t="array" aca="1" ref="N130" ca="1">IF(INDIRECT("'"&amp;B130&amp;"'!I"&amp;C130)=0,"N/A",INDIRECT("'"&amp;B130&amp;"'!I"&amp;C130))</f>
        <v xml:space="preserve">การปฏิบัติงานจากเครือข่ายภายนอก (teleworking) 
มีการจัดให้มีมาตรการป้องกันความเสี่ยงจากการใช้อุปกรณ์ที่ใช้ในการปฏิบัติงานจากเครือข่ายภายนอก เป็นช่องทางในการแพร่กระจายของโปรแกรมไม่ประสงค์ดี (malware) และการรั่วไหลของข้อมูลสำคัญ (data breach) </v>
      </c>
      <c r="O130" s="533" t="str" cm="1">
        <f t="array" aca="1" ref="O130" ca="1">IF(INDIRECT("'"&amp;B130&amp;"'!N"&amp;C130)=0,"N/A",INDIRECT("'"&amp;B130&amp;"'!N"&amp;C130))</f>
        <v>Yes/Partial/No</v>
      </c>
      <c r="P130" s="527" t="str" cm="1">
        <f t="array" aca="1" ref="P130" ca="1">IF(INDIRECT("'"&amp;B130&amp;"'!L"&amp;C130)=0,"",INDIRECT("'"&amp;B130&amp;"'!L"&amp;C130))</f>
        <v/>
      </c>
      <c r="Q130" s="527" t="str">
        <f t="shared" ca="1" si="8"/>
        <v/>
      </c>
      <c r="R130" s="563" t="str">
        <f t="shared" ca="1" si="9"/>
        <v>Yes</v>
      </c>
      <c r="S130" s="528" t="s">
        <v>1601</v>
      </c>
      <c r="T130" s="529" t="str">
        <f t="shared" si="10"/>
        <v/>
      </c>
      <c r="U130" s="529" t="str">
        <f t="shared" si="11"/>
        <v/>
      </c>
      <c r="V130" s="529" t="str">
        <f t="shared" si="12"/>
        <v>X</v>
      </c>
      <c r="W130" s="529" t="str">
        <f t="shared" si="13"/>
        <v>X</v>
      </c>
      <c r="X130" s="529" t="str">
        <f t="shared" si="14"/>
        <v>X</v>
      </c>
      <c r="Y130" s="529" t="str">
        <f t="shared" si="15"/>
        <v/>
      </c>
    </row>
    <row r="131" spans="1:25" ht="50.1" x14ac:dyDescent="0.2">
      <c r="A131" s="253" t="s">
        <v>872</v>
      </c>
      <c r="B131" s="253" t="s">
        <v>1595</v>
      </c>
      <c r="C131" s="253">
        <v>40</v>
      </c>
      <c r="D131" s="253" t="s">
        <v>1579</v>
      </c>
      <c r="E131" s="253" t="s">
        <v>1604</v>
      </c>
      <c r="F131" s="253" t="s">
        <v>1571</v>
      </c>
      <c r="G131" s="215" t="str" cm="1">
        <f t="array" aca="1" ref="G131" ca="1">IF(INDIRECT("'"&amp;B131&amp;"'!B"&amp;C131)=0,"",INDIRECT("'"&amp;B131&amp;"'!B"&amp;C131))</f>
        <v>x</v>
      </c>
      <c r="H131" s="215" t="str" cm="1">
        <f t="array" aca="1" ref="H131" ca="1">IF(INDIRECT("'"&amp;B131&amp;"'!C"&amp;C131)=0,"",INDIRECT("'"&amp;B131&amp;"'!C"&amp;C131))</f>
        <v>x</v>
      </c>
      <c r="I131" s="215" t="str" cm="1">
        <f t="array" aca="1" ref="I131" ca="1">IF(INDIRECT("'"&amp;B131&amp;"'!D"&amp;C131)=0,"",INDIRECT("'"&amp;B131&amp;"'!D"&amp;C131))</f>
        <v>x</v>
      </c>
      <c r="J131" s="215" t="str" cm="1">
        <f t="array" aca="1" ref="J131" ca="1">IF(INDIRECT("'"&amp;B131&amp;"'!E"&amp;C131)=0,"",INDIRECT("'"&amp;B131&amp;"'!E"&amp;C131))</f>
        <v/>
      </c>
      <c r="K131" s="253" cm="1">
        <f t="array" aca="1" ref="K131" ca="1">IF(INDIRECT("'"&amp;B131&amp;"'!F"&amp;C131)=0,"N/A",INDIRECT("'"&amp;B131&amp;"'!F"&amp;C131))</f>
        <v>8.5</v>
      </c>
      <c r="L131" s="253" t="str" cm="1">
        <f t="array" aca="1" ref="L131" ca="1">IF(INDIRECT("'"&amp;B131&amp;"'!G"&amp;C131)=0,"N/A",INDIRECT("'"&amp;B131&amp;"'!G"&amp;C131))</f>
        <v>1(6)</v>
      </c>
      <c r="M131" s="253" t="str" cm="1">
        <f t="array" aca="1" ref="M131" ca="1">IF(INDIRECT("'"&amp;B131&amp;"'!H"&amp;C131)=0,"N/A",INDIRECT("'"&amp;B131&amp;"'!H"&amp;C131))</f>
        <v>8.5 #1(6)</v>
      </c>
      <c r="N131" s="221" t="str" cm="1">
        <f t="array" aca="1" ref="N131" ca="1">IF(INDIRECT("'"&amp;B131&amp;"'!I"&amp;C131)=0,"N/A",INDIRECT("'"&amp;B131&amp;"'!I"&amp;C131))</f>
        <v>การปฏิบัติงานจากเครือข่ายภายนอก (teleworking) 
มีการจัดให้มีมาตรการป้องกันข้อมูลที่เป็นความลับหรือมีความสำคัญ (sensitive data) เช่น การยืนยันตัวตนก่อนใช้งานอุปกรณ์ (lock screen) การเข้ารหัสข้อมูลบนอุปกรณ์ที่ใช้ในการปฏิบัติงาน หรือการลบข้อมูลจากระยะไกล (remote wipe-out) เป็นต้น</v>
      </c>
      <c r="O131" s="533" t="str" cm="1">
        <f t="array" aca="1" ref="O131" ca="1">IF(INDIRECT("'"&amp;B131&amp;"'!N"&amp;C131)=0,"N/A",INDIRECT("'"&amp;B131&amp;"'!N"&amp;C131))</f>
        <v>Yes/Partial/No</v>
      </c>
      <c r="P131" s="527" t="str" cm="1">
        <f t="array" aca="1" ref="P131" ca="1">IF(INDIRECT("'"&amp;B131&amp;"'!L"&amp;C131)=0,"",INDIRECT("'"&amp;B131&amp;"'!L"&amp;C131))</f>
        <v/>
      </c>
      <c r="Q131" s="527" t="str">
        <f t="shared" ref="Q131:Q195" ca="1" si="16">IF(P131="N/A","N/A",IF(OR(P131="No",P131="M1"),1,IF(OR(P131="Partial",P131="M2"),2,IF(OR(P131="Yes",P131="M3"),3,IF(P131="M4",3,IF(P131="M5",3,""))))))</f>
        <v/>
      </c>
      <c r="R131" s="563" t="str">
        <f t="shared" ref="R131:R194" ca="1" si="17">IF(OR(P131="", P131="N/A"), "Yes", "")</f>
        <v>Yes</v>
      </c>
      <c r="S131" s="528" t="s">
        <v>1580</v>
      </c>
      <c r="T131" s="529" t="str">
        <f t="shared" si="10"/>
        <v/>
      </c>
      <c r="U131" s="529" t="str">
        <f t="shared" si="11"/>
        <v/>
      </c>
      <c r="V131" s="529" t="str">
        <f t="shared" si="12"/>
        <v>X</v>
      </c>
      <c r="W131" s="529" t="str">
        <f t="shared" si="13"/>
        <v/>
      </c>
      <c r="X131" s="529" t="str">
        <f t="shared" si="14"/>
        <v/>
      </c>
      <c r="Y131" s="529" t="str">
        <f t="shared" si="15"/>
        <v/>
      </c>
    </row>
    <row r="132" spans="1:25" ht="75.150000000000006" x14ac:dyDescent="0.2">
      <c r="A132" s="253" t="s">
        <v>876</v>
      </c>
      <c r="B132" s="253" t="s">
        <v>1595</v>
      </c>
      <c r="C132" s="253">
        <v>41</v>
      </c>
      <c r="D132" s="253" t="s">
        <v>1579</v>
      </c>
      <c r="E132" s="253" t="s">
        <v>1604</v>
      </c>
      <c r="F132" s="253" t="s">
        <v>1571</v>
      </c>
      <c r="G132" s="215" t="str" cm="1">
        <f t="array" aca="1" ref="G132" ca="1">IF(INDIRECT("'"&amp;B132&amp;"'!B"&amp;C132)=0,"",INDIRECT("'"&amp;B132&amp;"'!B"&amp;C132))</f>
        <v>x</v>
      </c>
      <c r="H132" s="215" t="str" cm="1">
        <f t="array" aca="1" ref="H132" ca="1">IF(INDIRECT("'"&amp;B132&amp;"'!C"&amp;C132)=0,"",INDIRECT("'"&amp;B132&amp;"'!C"&amp;C132))</f>
        <v>x</v>
      </c>
      <c r="I132" s="215" t="str" cm="1">
        <f t="array" aca="1" ref="I132" ca="1">IF(INDIRECT("'"&amp;B132&amp;"'!D"&amp;C132)=0,"",INDIRECT("'"&amp;B132&amp;"'!D"&amp;C132))</f>
        <v>x</v>
      </c>
      <c r="J132" s="215" t="str" cm="1">
        <f t="array" aca="1" ref="J132" ca="1">IF(INDIRECT("'"&amp;B132&amp;"'!E"&amp;C132)=0,"",INDIRECT("'"&amp;B132&amp;"'!E"&amp;C132))</f>
        <v/>
      </c>
      <c r="K132" s="253" cm="1">
        <f t="array" aca="1" ref="K132" ca="1">IF(INDIRECT("'"&amp;B132&amp;"'!F"&amp;C132)=0,"N/A",INDIRECT("'"&amp;B132&amp;"'!F"&amp;C132))</f>
        <v>8.5</v>
      </c>
      <c r="L132" s="253" t="str" cm="1">
        <f t="array" aca="1" ref="L132" ca="1">IF(INDIRECT("'"&amp;B132&amp;"'!G"&amp;C132)=0,"N/A",INDIRECT("'"&amp;B132&amp;"'!G"&amp;C132))</f>
        <v>2(1)</v>
      </c>
      <c r="M132" s="253" t="str" cm="1">
        <f t="array" aca="1" ref="M132" ca="1">IF(INDIRECT("'"&amp;B132&amp;"'!H"&amp;C132)=0,"N/A",INDIRECT("'"&amp;B132&amp;"'!H"&amp;C132))</f>
        <v>8.5 #2(1)</v>
      </c>
      <c r="N132" s="221" t="str" cm="1">
        <f t="array" aca="1" ref="N132" ca="1">IF(INDIRECT("'"&amp;B132&amp;"'!I"&amp;C132)=0,"N/A",INDIRECT("'"&amp;B132&amp;"'!I"&amp;C132))</f>
        <v>การใช้งานอุปกรณ์เคลื่อนที่ (mobile device)
มีการลงทะเบียนอุปกรณ์เคลื่อนที่ทั้งของพนักงานและบุคคลภายนอกก่อนการใช้งาน และมีการอนุมัติโดยผู้บริหารที่เกี่ยวข้อง ที่รวมถึงจัดให้มีการทบทวนทะเบียนดังกล่าวอย่างน้อยปีละ 1 ครั้งหรือเมื่อมีการเปลี่ยนอุปกรณ์ พร้อมทั้งยกเลิกสิทธิการใช้งานของอุปกรณ์เดิม เพื่อให้มั่นใจได้ว่าการใช้งานอุปกรณ์ดังกล่าวมีความความมั่นคงปลอดภัยเพียงพอ ทั้งนี้ ผู้ประกอบธุรกิจอาจใช้ระบบการลงทะเบียนอื่นทดแทนได้ หากพิจารณาแล้วเห็นว่าเหมาะสม</v>
      </c>
      <c r="O132" s="533" t="str" cm="1">
        <f t="array" aca="1" ref="O132" ca="1">IF(INDIRECT("'"&amp;B132&amp;"'!N"&amp;C132)=0,"N/A",INDIRECT("'"&amp;B132&amp;"'!N"&amp;C132))</f>
        <v>Yes/Partial/No</v>
      </c>
      <c r="P132" s="527" t="str" cm="1">
        <f t="array" aca="1" ref="P132" ca="1">IF(INDIRECT("'"&amp;B132&amp;"'!L"&amp;C132)=0,"",INDIRECT("'"&amp;B132&amp;"'!L"&amp;C132))</f>
        <v/>
      </c>
      <c r="Q132" s="527" t="str">
        <f t="shared" ca="1" si="16"/>
        <v/>
      </c>
      <c r="R132" s="563" t="str">
        <f t="shared" ca="1" si="17"/>
        <v>Yes</v>
      </c>
      <c r="S132" s="528" t="s">
        <v>1585</v>
      </c>
      <c r="T132" s="529" t="str">
        <f t="shared" ref="T132:T196" si="18">IF(ISNUMBER(SEARCH("(GV)",$S132)),"X","")</f>
        <v/>
      </c>
      <c r="U132" s="529" t="str">
        <f t="shared" ref="U132:U196" si="19">IF(ISNUMBER(SEARCH("(ID)",$S132)),"X","")</f>
        <v>X</v>
      </c>
      <c r="V132" s="529" t="str">
        <f t="shared" ref="V132:V196" si="20">IF(ISNUMBER(SEARCH("(PR)",$S132)),"X","")</f>
        <v/>
      </c>
      <c r="W132" s="529" t="str">
        <f t="shared" ref="W132:W196" si="21">IF(ISNUMBER(SEARCH("(DE)",$S132)),"X","")</f>
        <v/>
      </c>
      <c r="X132" s="529" t="str">
        <f t="shared" ref="X132:X196" si="22">IF(ISNUMBER(SEARCH("(RS)",$S132)),"X","")</f>
        <v/>
      </c>
      <c r="Y132" s="529" t="str">
        <f t="shared" ref="Y132:Y196" si="23">IF(ISNUMBER(SEARCH("(RC)",$S132)),"X","")</f>
        <v/>
      </c>
    </row>
    <row r="133" spans="1:25" ht="50.1" x14ac:dyDescent="0.2">
      <c r="A133" s="253" t="s">
        <v>881</v>
      </c>
      <c r="B133" s="253" t="s">
        <v>1595</v>
      </c>
      <c r="C133" s="253">
        <v>42</v>
      </c>
      <c r="D133" s="253" t="s">
        <v>1579</v>
      </c>
      <c r="E133" s="253" t="s">
        <v>1604</v>
      </c>
      <c r="F133" s="253" t="s">
        <v>1571</v>
      </c>
      <c r="G133" s="215" t="str" cm="1">
        <f t="array" aca="1" ref="G133" ca="1">IF(INDIRECT("'"&amp;B133&amp;"'!B"&amp;C133)=0,"",INDIRECT("'"&amp;B133&amp;"'!B"&amp;C133))</f>
        <v>x</v>
      </c>
      <c r="H133" s="215" t="str" cm="1">
        <f t="array" aca="1" ref="H133" ca="1">IF(INDIRECT("'"&amp;B133&amp;"'!C"&amp;C133)=0,"",INDIRECT("'"&amp;B133&amp;"'!C"&amp;C133))</f>
        <v>x</v>
      </c>
      <c r="I133" s="215" t="str" cm="1">
        <f t="array" aca="1" ref="I133" ca="1">IF(INDIRECT("'"&amp;B133&amp;"'!D"&amp;C133)=0,"",INDIRECT("'"&amp;B133&amp;"'!D"&amp;C133))</f>
        <v>x</v>
      </c>
      <c r="J133" s="215" t="str" cm="1">
        <f t="array" aca="1" ref="J133" ca="1">IF(INDIRECT("'"&amp;B133&amp;"'!E"&amp;C133)=0,"",INDIRECT("'"&amp;B133&amp;"'!E"&amp;C133))</f>
        <v/>
      </c>
      <c r="K133" s="253" cm="1">
        <f t="array" aca="1" ref="K133" ca="1">IF(INDIRECT("'"&amp;B133&amp;"'!F"&amp;C133)=0,"N/A",INDIRECT("'"&amp;B133&amp;"'!F"&amp;C133))</f>
        <v>8.5</v>
      </c>
      <c r="L133" s="253" t="str" cm="1">
        <f t="array" aca="1" ref="L133" ca="1">IF(INDIRECT("'"&amp;B133&amp;"'!G"&amp;C133)=0,"N/A",INDIRECT("'"&amp;B133&amp;"'!G"&amp;C133))</f>
        <v>2(2)</v>
      </c>
      <c r="M133" s="253" t="str" cm="1">
        <f t="array" aca="1" ref="M133" ca="1">IF(INDIRECT("'"&amp;B133&amp;"'!H"&amp;C133)=0,"N/A",INDIRECT("'"&amp;B133&amp;"'!H"&amp;C133))</f>
        <v>8.5 #2(2)</v>
      </c>
      <c r="N133" s="221" t="str" cm="1">
        <f t="array" aca="1" ref="N133" ca="1">IF(INDIRECT("'"&amp;B133&amp;"'!I"&amp;C133)=0,"N/A",INDIRECT("'"&amp;B133&amp;"'!I"&amp;C133))</f>
        <v>การใช้งานอุปกรณ์เคลื่อนที่ (mobile device)
มีมาตรการป้องกันข้อมูลที่เป็นความลับหรือมีความสำคัญ (sensitive data) เช่น การยืนยันตัวตนก่อนใช้งานอุปกรณ์ (lock screen) การเข้ารหัสข้อมูลบนอุปกรณ์ที่ใช้ปฏิบัติงาน หรือการลบข้อมูลจากระยะไกล (remote wipe-out) เป็นต้น</v>
      </c>
      <c r="O133" s="533" t="str" cm="1">
        <f t="array" aca="1" ref="O133" ca="1">IF(INDIRECT("'"&amp;B133&amp;"'!N"&amp;C133)=0,"N/A",INDIRECT("'"&amp;B133&amp;"'!N"&amp;C133))</f>
        <v>Yes/Partial/No</v>
      </c>
      <c r="P133" s="527" t="str" cm="1">
        <f t="array" aca="1" ref="P133" ca="1">IF(INDIRECT("'"&amp;B133&amp;"'!L"&amp;C133)=0,"",INDIRECT("'"&amp;B133&amp;"'!L"&amp;C133))</f>
        <v/>
      </c>
      <c r="Q133" s="527" t="str">
        <f t="shared" ca="1" si="16"/>
        <v/>
      </c>
      <c r="R133" s="563" t="str">
        <f t="shared" ca="1" si="17"/>
        <v>Yes</v>
      </c>
      <c r="S133" s="528" t="s">
        <v>1605</v>
      </c>
      <c r="T133" s="529" t="str">
        <f t="shared" si="18"/>
        <v/>
      </c>
      <c r="U133" s="529" t="str">
        <f t="shared" si="19"/>
        <v>X</v>
      </c>
      <c r="V133" s="529" t="str">
        <f t="shared" si="20"/>
        <v>X</v>
      </c>
      <c r="W133" s="529" t="str">
        <f t="shared" si="21"/>
        <v/>
      </c>
      <c r="X133" s="529" t="str">
        <f t="shared" si="22"/>
        <v/>
      </c>
      <c r="Y133" s="529" t="str">
        <f t="shared" si="23"/>
        <v/>
      </c>
    </row>
    <row r="134" spans="1:25" ht="50.1" x14ac:dyDescent="0.2">
      <c r="A134" s="253" t="s">
        <v>886</v>
      </c>
      <c r="B134" s="253" t="s">
        <v>1595</v>
      </c>
      <c r="C134" s="253">
        <v>43</v>
      </c>
      <c r="D134" s="253" t="s">
        <v>1579</v>
      </c>
      <c r="E134" s="253" t="s">
        <v>1604</v>
      </c>
      <c r="F134" s="253" t="s">
        <v>1574</v>
      </c>
      <c r="G134" s="215" t="str" cm="1">
        <f t="array" aca="1" ref="G134" ca="1">IF(INDIRECT("'"&amp;B134&amp;"'!B"&amp;C134)=0,"",INDIRECT("'"&amp;B134&amp;"'!B"&amp;C134))</f>
        <v>x</v>
      </c>
      <c r="H134" s="215" t="str" cm="1">
        <f t="array" aca="1" ref="H134" ca="1">IF(INDIRECT("'"&amp;B134&amp;"'!C"&amp;C134)=0,"",INDIRECT("'"&amp;B134&amp;"'!C"&amp;C134))</f>
        <v/>
      </c>
      <c r="I134" s="215" t="str" cm="1">
        <f t="array" aca="1" ref="I134" ca="1">IF(INDIRECT("'"&amp;B134&amp;"'!D"&amp;C134)=0,"",INDIRECT("'"&amp;B134&amp;"'!D"&amp;C134))</f>
        <v/>
      </c>
      <c r="J134" s="215" t="str" cm="1">
        <f t="array" aca="1" ref="J134" ca="1">IF(INDIRECT("'"&amp;B134&amp;"'!E"&amp;C134)=0,"",INDIRECT("'"&amp;B134&amp;"'!E"&amp;C134))</f>
        <v/>
      </c>
      <c r="K134" s="253" cm="1">
        <f t="array" aca="1" ref="K134" ca="1">IF(INDIRECT("'"&amp;B134&amp;"'!F"&amp;C134)=0,"N/A",INDIRECT("'"&amp;B134&amp;"'!F"&amp;C134))</f>
        <v>8.5</v>
      </c>
      <c r="L134" s="253" t="str" cm="1">
        <f t="array" aca="1" ref="L134" ca="1">IF(INDIRECT("'"&amp;B134&amp;"'!G"&amp;C134)=0,"N/A",INDIRECT("'"&amp;B134&amp;"'!G"&amp;C134))</f>
        <v>2(3)</v>
      </c>
      <c r="M134" s="253" t="str" cm="1">
        <f t="array" aca="1" ref="M134" ca="1">IF(INDIRECT("'"&amp;B134&amp;"'!H"&amp;C134)=0,"N/A",INDIRECT("'"&amp;B134&amp;"'!H"&amp;C134))</f>
        <v>8.5 #2(3)</v>
      </c>
      <c r="N134" s="221" t="str" cm="1">
        <f t="array" aca="1" ref="N134" ca="1">IF(INDIRECT("'"&amp;B134&amp;"'!I"&amp;C134)=0,"N/A",INDIRECT("'"&amp;B134&amp;"'!I"&amp;C134))</f>
        <v>การใช้งานอุปกรณ์เคลื่อนที่ (mobile device)
มีเครื่องมือในการบริหารจัดการอุปกรณ์เคลื่อนที่ที่มีความสามารถในการบริหารจัดการชุดโปรแกรมแก้ไขช่องโหว่ด้านความมั่นคงปลอดภัย (security patch) การตั้งค่าอุปกรณ์ (configuration) และการบริหารจัดการด้านการป้องกันไวรัสและโปรแกรมไม่พึงประสงค์</v>
      </c>
      <c r="O134" s="533" t="str" cm="1">
        <f t="array" aca="1" ref="O134" ca="1">IF(INDIRECT("'"&amp;B134&amp;"'!N"&amp;C134)=0,"N/A",INDIRECT("'"&amp;B134&amp;"'!N"&amp;C134))</f>
        <v>Yes/Partial/No</v>
      </c>
      <c r="P134" s="527" t="str" cm="1">
        <f t="array" aca="1" ref="P134" ca="1">IF(INDIRECT("'"&amp;B134&amp;"'!L"&amp;C134)=0,"",INDIRECT("'"&amp;B134&amp;"'!L"&amp;C134))</f>
        <v/>
      </c>
      <c r="Q134" s="527" t="str">
        <f t="shared" ca="1" si="16"/>
        <v/>
      </c>
      <c r="R134" s="563" t="str">
        <f t="shared" ca="1" si="17"/>
        <v>Yes</v>
      </c>
      <c r="S134" s="528" t="s">
        <v>1603</v>
      </c>
      <c r="T134" s="529" t="str">
        <f t="shared" si="18"/>
        <v/>
      </c>
      <c r="U134" s="529" t="str">
        <f t="shared" si="19"/>
        <v/>
      </c>
      <c r="V134" s="529" t="str">
        <f t="shared" si="20"/>
        <v>X</v>
      </c>
      <c r="W134" s="529" t="str">
        <f t="shared" si="21"/>
        <v>X</v>
      </c>
      <c r="X134" s="529" t="str">
        <f t="shared" si="22"/>
        <v/>
      </c>
      <c r="Y134" s="529" t="str">
        <f t="shared" si="23"/>
        <v/>
      </c>
    </row>
    <row r="135" spans="1:25" ht="37.6" x14ac:dyDescent="0.2">
      <c r="A135" s="253" t="s">
        <v>891</v>
      </c>
      <c r="B135" s="253" t="s">
        <v>1595</v>
      </c>
      <c r="C135" s="253">
        <v>44</v>
      </c>
      <c r="D135" s="253" t="s">
        <v>1579</v>
      </c>
      <c r="E135" s="253" t="s">
        <v>1604</v>
      </c>
      <c r="F135" s="253" t="s">
        <v>1571</v>
      </c>
      <c r="G135" s="215" t="str" cm="1">
        <f t="array" aca="1" ref="G135" ca="1">IF(INDIRECT("'"&amp;B135&amp;"'!B"&amp;C135)=0,"",INDIRECT("'"&amp;B135&amp;"'!B"&amp;C135))</f>
        <v>x</v>
      </c>
      <c r="H135" s="215" t="str" cm="1">
        <f t="array" aca="1" ref="H135" ca="1">IF(INDIRECT("'"&amp;B135&amp;"'!C"&amp;C135)=0,"",INDIRECT("'"&amp;B135&amp;"'!C"&amp;C135))</f>
        <v>x</v>
      </c>
      <c r="I135" s="215" t="str" cm="1">
        <f t="array" aca="1" ref="I135" ca="1">IF(INDIRECT("'"&amp;B135&amp;"'!D"&amp;C135)=0,"",INDIRECT("'"&amp;B135&amp;"'!D"&amp;C135))</f>
        <v>x</v>
      </c>
      <c r="J135" s="215" t="str" cm="1">
        <f t="array" aca="1" ref="J135" ca="1">IF(INDIRECT("'"&amp;B135&amp;"'!E"&amp;C135)=0,"",INDIRECT("'"&amp;B135&amp;"'!E"&amp;C135))</f>
        <v>x</v>
      </c>
      <c r="K135" s="253" cm="1">
        <f t="array" aca="1" ref="K135" ca="1">IF(INDIRECT("'"&amp;B135&amp;"'!F"&amp;C135)=0,"N/A",INDIRECT("'"&amp;B135&amp;"'!F"&amp;C135))</f>
        <v>8.5</v>
      </c>
      <c r="L135" s="253" t="str" cm="1">
        <f t="array" aca="1" ref="L135" ca="1">IF(INDIRECT("'"&amp;B135&amp;"'!G"&amp;C135)=0,"N/A",INDIRECT("'"&amp;B135&amp;"'!G"&amp;C135))</f>
        <v>3(1)</v>
      </c>
      <c r="M135" s="253" t="str" cm="1">
        <f t="array" aca="1" ref="M135" ca="1">IF(INDIRECT("'"&amp;B135&amp;"'!H"&amp;C135)=0,"N/A",INDIRECT("'"&amp;B135&amp;"'!H"&amp;C135))</f>
        <v>8.5 #3(1)</v>
      </c>
      <c r="N135" s="221" t="str" cm="1">
        <f t="array" aca="1" ref="N135" ca="1">IF(INDIRECT("'"&amp;B135&amp;"'!I"&amp;C135)=0,"N/A",INDIRECT("'"&amp;B135&amp;"'!I"&amp;C135))</f>
        <v>การใช้อุปกรณ์ส่วนตัวของพนักงาน (bring your own device : BYOD) 
มีการพิจารณาความเสี่ยงที่เกี่ยวข้อง และจัดให้มีมาตรการควบคุมความเสี่ยงอย่างเหมาะสม โดยมีการกำหนดหลักเกณฑ์การอนุญาตให้ใช้งาน BYOD</v>
      </c>
      <c r="O135" s="533" t="str" cm="1">
        <f t="array" aca="1" ref="O135" ca="1">IF(INDIRECT("'"&amp;B135&amp;"'!N"&amp;C135)=0,"N/A",INDIRECT("'"&amp;B135&amp;"'!N"&amp;C135))</f>
        <v>Yes/Partial/No</v>
      </c>
      <c r="P135" s="527" t="str" cm="1">
        <f t="array" aca="1" ref="P135" ca="1">IF(INDIRECT("'"&amp;B135&amp;"'!L"&amp;C135)=0,"",INDIRECT("'"&amp;B135&amp;"'!L"&amp;C135))</f>
        <v/>
      </c>
      <c r="Q135" s="527" t="str">
        <f t="shared" ca="1" si="16"/>
        <v/>
      </c>
      <c r="R135" s="563" t="str">
        <f t="shared" ca="1" si="17"/>
        <v>Yes</v>
      </c>
      <c r="S135" s="528" t="s">
        <v>1576</v>
      </c>
      <c r="T135" s="529" t="str">
        <f t="shared" si="18"/>
        <v>X</v>
      </c>
      <c r="U135" s="529" t="str">
        <f t="shared" si="19"/>
        <v>X</v>
      </c>
      <c r="V135" s="529" t="str">
        <f t="shared" si="20"/>
        <v/>
      </c>
      <c r="W135" s="529" t="str">
        <f t="shared" si="21"/>
        <v/>
      </c>
      <c r="X135" s="529" t="str">
        <f t="shared" si="22"/>
        <v/>
      </c>
      <c r="Y135" s="529" t="str">
        <f t="shared" si="23"/>
        <v/>
      </c>
    </row>
    <row r="136" spans="1:25" ht="25.05" x14ac:dyDescent="0.2">
      <c r="A136" s="253" t="s">
        <v>896</v>
      </c>
      <c r="B136" s="253" t="s">
        <v>1595</v>
      </c>
      <c r="C136" s="253">
        <v>45</v>
      </c>
      <c r="D136" s="253" t="s">
        <v>1579</v>
      </c>
      <c r="E136" s="253" t="s">
        <v>1604</v>
      </c>
      <c r="F136" s="253" t="s">
        <v>1571</v>
      </c>
      <c r="G136" s="215" t="str" cm="1">
        <f t="array" aca="1" ref="G136" ca="1">IF(INDIRECT("'"&amp;B136&amp;"'!B"&amp;C136)=0,"",INDIRECT("'"&amp;B136&amp;"'!B"&amp;C136))</f>
        <v>x</v>
      </c>
      <c r="H136" s="215" t="str" cm="1">
        <f t="array" aca="1" ref="H136" ca="1">IF(INDIRECT("'"&amp;B136&amp;"'!C"&amp;C136)=0,"",INDIRECT("'"&amp;B136&amp;"'!C"&amp;C136))</f>
        <v>x</v>
      </c>
      <c r="I136" s="215" t="str" cm="1">
        <f t="array" aca="1" ref="I136" ca="1">IF(INDIRECT("'"&amp;B136&amp;"'!D"&amp;C136)=0,"",INDIRECT("'"&amp;B136&amp;"'!D"&amp;C136))</f>
        <v>x</v>
      </c>
      <c r="J136" s="215" t="str" cm="1">
        <f t="array" aca="1" ref="J136" ca="1">IF(INDIRECT("'"&amp;B136&amp;"'!E"&amp;C136)=0,"",INDIRECT("'"&amp;B136&amp;"'!E"&amp;C136))</f>
        <v>x</v>
      </c>
      <c r="K136" s="253" cm="1">
        <f t="array" aca="1" ref="K136" ca="1">IF(INDIRECT("'"&amp;B136&amp;"'!F"&amp;C136)=0,"N/A",INDIRECT("'"&amp;B136&amp;"'!F"&amp;C136))</f>
        <v>8.5</v>
      </c>
      <c r="L136" s="253" t="str" cm="1">
        <f t="array" aca="1" ref="L136" ca="1">IF(INDIRECT("'"&amp;B136&amp;"'!G"&amp;C136)=0,"N/A",INDIRECT("'"&amp;B136&amp;"'!G"&amp;C136))</f>
        <v>3(2)</v>
      </c>
      <c r="M136" s="253" t="str" cm="1">
        <f t="array" aca="1" ref="M136" ca="1">IF(INDIRECT("'"&amp;B136&amp;"'!H"&amp;C136)=0,"N/A",INDIRECT("'"&amp;B136&amp;"'!H"&amp;C136))</f>
        <v>8.5 #3(2)</v>
      </c>
      <c r="N136" s="221" t="str" cm="1">
        <f t="array" aca="1" ref="N136" ca="1">IF(INDIRECT("'"&amp;B136&amp;"'!I"&amp;C136)=0,"N/A",INDIRECT("'"&amp;B136&amp;"'!I"&amp;C136))</f>
        <v>การใช้อุปกรณ์ส่วนตัวของพนักงาน (bring your own device : BYOD) 
มีการควบคุมการใช้ BYOD ในการเข้าถึงระบบเครือข่ายสื่อสาร ข้อมูลและระบบ IT เท่าที่จำเป็น</v>
      </c>
      <c r="O136" s="533" t="str" cm="1">
        <f t="array" aca="1" ref="O136" ca="1">IF(INDIRECT("'"&amp;B136&amp;"'!N"&amp;C136)=0,"N/A",INDIRECT("'"&amp;B136&amp;"'!N"&amp;C136))</f>
        <v>Yes/Partial/No</v>
      </c>
      <c r="P136" s="527" t="str" cm="1">
        <f t="array" aca="1" ref="P136" ca="1">IF(INDIRECT("'"&amp;B136&amp;"'!L"&amp;C136)=0,"",INDIRECT("'"&amp;B136&amp;"'!L"&amp;C136))</f>
        <v/>
      </c>
      <c r="Q136" s="527" t="str">
        <f t="shared" ca="1" si="16"/>
        <v/>
      </c>
      <c r="R136" s="563" t="str">
        <f t="shared" ca="1" si="17"/>
        <v>Yes</v>
      </c>
      <c r="S136" s="528" t="s">
        <v>1580</v>
      </c>
      <c r="T136" s="529" t="str">
        <f t="shared" si="18"/>
        <v/>
      </c>
      <c r="U136" s="529" t="str">
        <f t="shared" si="19"/>
        <v/>
      </c>
      <c r="V136" s="529" t="str">
        <f t="shared" si="20"/>
        <v>X</v>
      </c>
      <c r="W136" s="529" t="str">
        <f t="shared" si="21"/>
        <v/>
      </c>
      <c r="X136" s="529" t="str">
        <f t="shared" si="22"/>
        <v/>
      </c>
      <c r="Y136" s="529" t="str">
        <f t="shared" si="23"/>
        <v/>
      </c>
    </row>
    <row r="137" spans="1:25" ht="25.05" x14ac:dyDescent="0.2">
      <c r="A137" s="253" t="s">
        <v>901</v>
      </c>
      <c r="B137" s="253" t="s">
        <v>1595</v>
      </c>
      <c r="C137" s="253">
        <v>46</v>
      </c>
      <c r="D137" s="253" t="s">
        <v>1579</v>
      </c>
      <c r="E137" s="253" t="s">
        <v>1604</v>
      </c>
      <c r="F137" s="253" t="s">
        <v>1571</v>
      </c>
      <c r="G137" s="215" t="str" cm="1">
        <f t="array" aca="1" ref="G137" ca="1">IF(INDIRECT("'"&amp;B137&amp;"'!B"&amp;C137)=0,"",INDIRECT("'"&amp;B137&amp;"'!B"&amp;C137))</f>
        <v>x</v>
      </c>
      <c r="H137" s="215" t="str" cm="1">
        <f t="array" aca="1" ref="H137" ca="1">IF(INDIRECT("'"&amp;B137&amp;"'!C"&amp;C137)=0,"",INDIRECT("'"&amp;B137&amp;"'!C"&amp;C137))</f>
        <v>x</v>
      </c>
      <c r="I137" s="215" t="str" cm="1">
        <f t="array" aca="1" ref="I137" ca="1">IF(INDIRECT("'"&amp;B137&amp;"'!D"&amp;C137)=0,"",INDIRECT("'"&amp;B137&amp;"'!D"&amp;C137))</f>
        <v>x</v>
      </c>
      <c r="J137" s="215" t="str" cm="1">
        <f t="array" aca="1" ref="J137" ca="1">IF(INDIRECT("'"&amp;B137&amp;"'!E"&amp;C137)=0,"",INDIRECT("'"&amp;B137&amp;"'!E"&amp;C137))</f>
        <v>x</v>
      </c>
      <c r="K137" s="253" cm="1">
        <f t="array" aca="1" ref="K137" ca="1">IF(INDIRECT("'"&amp;B137&amp;"'!F"&amp;C137)=0,"N/A",INDIRECT("'"&amp;B137&amp;"'!F"&amp;C137))</f>
        <v>8.5</v>
      </c>
      <c r="L137" s="253" t="str" cm="1">
        <f t="array" aca="1" ref="L137" ca="1">IF(INDIRECT("'"&amp;B137&amp;"'!G"&amp;C137)=0,"N/A",INDIRECT("'"&amp;B137&amp;"'!G"&amp;C137))</f>
        <v>3(3)</v>
      </c>
      <c r="M137" s="253" t="str" cm="1">
        <f t="array" aca="1" ref="M137" ca="1">IF(INDIRECT("'"&amp;B137&amp;"'!H"&amp;C137)=0,"N/A",INDIRECT("'"&amp;B137&amp;"'!H"&amp;C137))</f>
        <v>8.5 #3(3)</v>
      </c>
      <c r="N137" s="221" t="str" cm="1">
        <f t="array" aca="1" ref="N137" ca="1">IF(INDIRECT("'"&amp;B137&amp;"'!I"&amp;C137)=0,"N/A",INDIRECT("'"&amp;B137&amp;"'!I"&amp;C137))</f>
        <v>การใช้อุปกรณ์ส่วนตัวของพนักงาน (bring your own device : BYOD) 
มีการยืนยันตัวตนเพื่อปลดล็อคในการเข้าถึง BYOD</v>
      </c>
      <c r="O137" s="533" t="str" cm="1">
        <f t="array" aca="1" ref="O137" ca="1">IF(INDIRECT("'"&amp;B137&amp;"'!N"&amp;C137)=0,"N/A",INDIRECT("'"&amp;B137&amp;"'!N"&amp;C137))</f>
        <v>Yes/Partial/No</v>
      </c>
      <c r="P137" s="527" t="str" cm="1">
        <f t="array" aca="1" ref="P137" ca="1">IF(INDIRECT("'"&amp;B137&amp;"'!L"&amp;C137)=0,"",INDIRECT("'"&amp;B137&amp;"'!L"&amp;C137))</f>
        <v/>
      </c>
      <c r="Q137" s="527" t="str">
        <f t="shared" ca="1" si="16"/>
        <v/>
      </c>
      <c r="R137" s="563" t="str">
        <f t="shared" ca="1" si="17"/>
        <v>Yes</v>
      </c>
      <c r="S137" s="528" t="s">
        <v>1580</v>
      </c>
      <c r="T137" s="529" t="str">
        <f t="shared" si="18"/>
        <v/>
      </c>
      <c r="U137" s="529" t="str">
        <f t="shared" si="19"/>
        <v/>
      </c>
      <c r="V137" s="529" t="str">
        <f t="shared" si="20"/>
        <v>X</v>
      </c>
      <c r="W137" s="529" t="str">
        <f t="shared" si="21"/>
        <v/>
      </c>
      <c r="X137" s="529" t="str">
        <f t="shared" si="22"/>
        <v/>
      </c>
      <c r="Y137" s="529" t="str">
        <f t="shared" si="23"/>
        <v/>
      </c>
    </row>
    <row r="138" spans="1:25" ht="50.1" x14ac:dyDescent="0.2">
      <c r="A138" s="253" t="s">
        <v>906</v>
      </c>
      <c r="B138" s="253" t="s">
        <v>1595</v>
      </c>
      <c r="C138" s="253">
        <v>47</v>
      </c>
      <c r="D138" s="253" t="s">
        <v>1579</v>
      </c>
      <c r="E138" s="253" t="s">
        <v>1604</v>
      </c>
      <c r="F138" s="253" t="s">
        <v>1571</v>
      </c>
      <c r="G138" s="215" t="str" cm="1">
        <f t="array" aca="1" ref="G138" ca="1">IF(INDIRECT("'"&amp;B138&amp;"'!B"&amp;C138)=0,"",INDIRECT("'"&amp;B138&amp;"'!B"&amp;C138))</f>
        <v>x</v>
      </c>
      <c r="H138" s="215" t="str" cm="1">
        <f t="array" aca="1" ref="H138" ca="1">IF(INDIRECT("'"&amp;B138&amp;"'!C"&amp;C138)=0,"",INDIRECT("'"&amp;B138&amp;"'!C"&amp;C138))</f>
        <v>x</v>
      </c>
      <c r="I138" s="215" t="str" cm="1">
        <f t="array" aca="1" ref="I138" ca="1">IF(INDIRECT("'"&amp;B138&amp;"'!D"&amp;C138)=0,"",INDIRECT("'"&amp;B138&amp;"'!D"&amp;C138))</f>
        <v>x</v>
      </c>
      <c r="J138" s="215" t="str" cm="1">
        <f t="array" aca="1" ref="J138" ca="1">IF(INDIRECT("'"&amp;B138&amp;"'!E"&amp;C138)=0,"",INDIRECT("'"&amp;B138&amp;"'!E"&amp;C138))</f>
        <v>x</v>
      </c>
      <c r="K138" s="253" cm="1">
        <f t="array" aca="1" ref="K138" ca="1">IF(INDIRECT("'"&amp;B138&amp;"'!F"&amp;C138)=0,"N/A",INDIRECT("'"&amp;B138&amp;"'!F"&amp;C138))</f>
        <v>8.5</v>
      </c>
      <c r="L138" s="253" t="str" cm="1">
        <f t="array" aca="1" ref="L138" ca="1">IF(INDIRECT("'"&amp;B138&amp;"'!G"&amp;C138)=0,"N/A",INDIRECT("'"&amp;B138&amp;"'!G"&amp;C138))</f>
        <v>3(4)</v>
      </c>
      <c r="M138" s="253" t="str" cm="1">
        <f t="array" aca="1" ref="M138" ca="1">IF(INDIRECT("'"&amp;B138&amp;"'!H"&amp;C138)=0,"N/A",INDIRECT("'"&amp;B138&amp;"'!H"&amp;C138))</f>
        <v>8.5 #3(4)</v>
      </c>
      <c r="N138" s="221" t="str" cm="1">
        <f t="array" aca="1" ref="N138" ca="1">IF(INDIRECT("'"&amp;B138&amp;"'!I"&amp;C138)=0,"N/A",INDIRECT("'"&amp;B138&amp;"'!I"&amp;C138))</f>
        <v xml:space="preserve">การใช้อุปกรณ์ส่วนตัวของพนักงาน (bring your own device : BYOD) 
ในกรณีที่เครื่องคอมพิวเตอร์ส่วนตัวของพนักงาน (personal computer, notebook) สามารถเชื่อมต่อเข้าสู่ระบบเครือข่ายภายในหรือข้อมูลสำคัญ จัดให้มีการติดตั้งซอฟต์แวร์ป้องกันไวรัสและโปรแกรมไม่ประสงค์ดีและปรับปรุงให้ทันสมัย (update) อยู่เสมอ </v>
      </c>
      <c r="O138" s="533" t="str" cm="1">
        <f t="array" aca="1" ref="O138" ca="1">IF(INDIRECT("'"&amp;B138&amp;"'!N"&amp;C138)=0,"N/A",INDIRECT("'"&amp;B138&amp;"'!N"&amp;C138))</f>
        <v>Yes/Partial/No</v>
      </c>
      <c r="P138" s="527" t="str" cm="1">
        <f t="array" aca="1" ref="P138" ca="1">IF(INDIRECT("'"&amp;B138&amp;"'!L"&amp;C138)=0,"",INDIRECT("'"&amp;B138&amp;"'!L"&amp;C138))</f>
        <v/>
      </c>
      <c r="Q138" s="527" t="str">
        <f t="shared" ca="1" si="16"/>
        <v/>
      </c>
      <c r="R138" s="563" t="str">
        <f t="shared" ca="1" si="17"/>
        <v>Yes</v>
      </c>
      <c r="S138" s="528" t="s">
        <v>1601</v>
      </c>
      <c r="T138" s="529" t="str">
        <f t="shared" si="18"/>
        <v/>
      </c>
      <c r="U138" s="529" t="str">
        <f t="shared" si="19"/>
        <v/>
      </c>
      <c r="V138" s="529" t="str">
        <f t="shared" si="20"/>
        <v>X</v>
      </c>
      <c r="W138" s="529" t="str">
        <f t="shared" si="21"/>
        <v>X</v>
      </c>
      <c r="X138" s="529" t="str">
        <f t="shared" si="22"/>
        <v>X</v>
      </c>
      <c r="Y138" s="529" t="str">
        <f t="shared" si="23"/>
        <v/>
      </c>
    </row>
    <row r="139" spans="1:25" ht="25.05" x14ac:dyDescent="0.2">
      <c r="A139" s="253" t="s">
        <v>911</v>
      </c>
      <c r="B139" s="253" t="s">
        <v>1595</v>
      </c>
      <c r="C139" s="253">
        <v>48</v>
      </c>
      <c r="D139" s="253" t="s">
        <v>1579</v>
      </c>
      <c r="E139" s="253" t="s">
        <v>1604</v>
      </c>
      <c r="F139" s="253" t="s">
        <v>1571</v>
      </c>
      <c r="G139" s="215" t="str" cm="1">
        <f t="array" aca="1" ref="G139" ca="1">IF(INDIRECT("'"&amp;B139&amp;"'!B"&amp;C139)=0,"",INDIRECT("'"&amp;B139&amp;"'!B"&amp;C139))</f>
        <v>x</v>
      </c>
      <c r="H139" s="215" t="str" cm="1">
        <f t="array" aca="1" ref="H139" ca="1">IF(INDIRECT("'"&amp;B139&amp;"'!C"&amp;C139)=0,"",INDIRECT("'"&amp;B139&amp;"'!C"&amp;C139))</f>
        <v>x</v>
      </c>
      <c r="I139" s="215" t="str" cm="1">
        <f t="array" aca="1" ref="I139" ca="1">IF(INDIRECT("'"&amp;B139&amp;"'!D"&amp;C139)=0,"",INDIRECT("'"&amp;B139&amp;"'!D"&amp;C139))</f>
        <v>x</v>
      </c>
      <c r="J139" s="215" t="str" cm="1">
        <f t="array" aca="1" ref="J139" ca="1">IF(INDIRECT("'"&amp;B139&amp;"'!E"&amp;C139)=0,"",INDIRECT("'"&amp;B139&amp;"'!E"&amp;C139))</f>
        <v>x</v>
      </c>
      <c r="K139" s="253" cm="1">
        <f t="array" aca="1" ref="K139" ca="1">IF(INDIRECT("'"&amp;B139&amp;"'!F"&amp;C139)=0,"N/A",INDIRECT("'"&amp;B139&amp;"'!F"&amp;C139))</f>
        <v>8.5</v>
      </c>
      <c r="L139" s="253" t="str" cm="1">
        <f t="array" aca="1" ref="L139" ca="1">IF(INDIRECT("'"&amp;B139&amp;"'!G"&amp;C139)=0,"N/A",INDIRECT("'"&amp;B139&amp;"'!G"&amp;C139))</f>
        <v>3(5)</v>
      </c>
      <c r="M139" s="253" t="str" cm="1">
        <f t="array" aca="1" ref="M139" ca="1">IF(INDIRECT("'"&amp;B139&amp;"'!H"&amp;C139)=0,"N/A",INDIRECT("'"&amp;B139&amp;"'!H"&amp;C139))</f>
        <v>8.5 #3(5)</v>
      </c>
      <c r="N139" s="221" t="str" cm="1">
        <f t="array" aca="1" ref="N139" ca="1">IF(INDIRECT("'"&amp;B139&amp;"'!I"&amp;C139)=0,"N/A",INDIRECT("'"&amp;B139&amp;"'!I"&amp;C139))</f>
        <v>การใช้อุปกรณ์ส่วนตัวของพนักงาน (bring your own device : BYOD) 
ไม่อนุญาตให้ใช้อุปกรณ์เคลื่อนที่ (tablet, smartphone) ที่ถูกปรับแต่ง (rooted หรือ jailbroken) เข้าถึงระบบ IT</v>
      </c>
      <c r="O139" s="533" t="str" cm="1">
        <f t="array" aca="1" ref="O139" ca="1">IF(INDIRECT("'"&amp;B139&amp;"'!N"&amp;C139)=0,"N/A",INDIRECT("'"&amp;B139&amp;"'!N"&amp;C139))</f>
        <v>Yes/Partial/No</v>
      </c>
      <c r="P139" s="527" t="str" cm="1">
        <f t="array" aca="1" ref="P139" ca="1">IF(INDIRECT("'"&amp;B139&amp;"'!L"&amp;C139)=0,"",INDIRECT("'"&amp;B139&amp;"'!L"&amp;C139))</f>
        <v/>
      </c>
      <c r="Q139" s="527" t="str">
        <f t="shared" ca="1" si="16"/>
        <v/>
      </c>
      <c r="R139" s="563" t="str">
        <f t="shared" ca="1" si="17"/>
        <v>Yes</v>
      </c>
      <c r="S139" s="528" t="s">
        <v>1580</v>
      </c>
      <c r="T139" s="529" t="str">
        <f t="shared" si="18"/>
        <v/>
      </c>
      <c r="U139" s="529" t="str">
        <f t="shared" si="19"/>
        <v/>
      </c>
      <c r="V139" s="529" t="str">
        <f t="shared" si="20"/>
        <v>X</v>
      </c>
      <c r="W139" s="529" t="str">
        <f t="shared" si="21"/>
        <v/>
      </c>
      <c r="X139" s="529" t="str">
        <f t="shared" si="22"/>
        <v/>
      </c>
      <c r="Y139" s="529" t="str">
        <f t="shared" si="23"/>
        <v/>
      </c>
    </row>
    <row r="140" spans="1:25" ht="37.6" x14ac:dyDescent="0.2">
      <c r="A140" s="253" t="s">
        <v>916</v>
      </c>
      <c r="B140" s="253" t="s">
        <v>1595</v>
      </c>
      <c r="C140" s="253">
        <v>49</v>
      </c>
      <c r="D140" s="253" t="s">
        <v>1579</v>
      </c>
      <c r="E140" s="253" t="s">
        <v>1604</v>
      </c>
      <c r="F140" s="253" t="s">
        <v>1574</v>
      </c>
      <c r="G140" s="215" t="str" cm="1">
        <f t="array" aca="1" ref="G140" ca="1">IF(INDIRECT("'"&amp;B140&amp;"'!B"&amp;C140)=0,"",INDIRECT("'"&amp;B140&amp;"'!B"&amp;C140))</f>
        <v>x</v>
      </c>
      <c r="H140" s="215" t="str" cm="1">
        <f t="array" aca="1" ref="H140" ca="1">IF(INDIRECT("'"&amp;B140&amp;"'!C"&amp;C140)=0,"",INDIRECT("'"&amp;B140&amp;"'!C"&amp;C140))</f>
        <v/>
      </c>
      <c r="I140" s="215" t="str" cm="1">
        <f t="array" aca="1" ref="I140" ca="1">IF(INDIRECT("'"&amp;B140&amp;"'!D"&amp;C140)=0,"",INDIRECT("'"&amp;B140&amp;"'!D"&amp;C140))</f>
        <v/>
      </c>
      <c r="J140" s="215" t="str" cm="1">
        <f t="array" aca="1" ref="J140" ca="1">IF(INDIRECT("'"&amp;B140&amp;"'!E"&amp;C140)=0,"",INDIRECT("'"&amp;B140&amp;"'!E"&amp;C140))</f>
        <v/>
      </c>
      <c r="K140" s="253" cm="1">
        <f t="array" aca="1" ref="K140" ca="1">IF(INDIRECT("'"&amp;B140&amp;"'!F"&amp;C140)=0,"N/A",INDIRECT("'"&amp;B140&amp;"'!F"&amp;C140))</f>
        <v>8.5</v>
      </c>
      <c r="L140" s="253" cm="1">
        <f t="array" aca="1" ref="L140" ca="1">IF(INDIRECT("'"&amp;B140&amp;"'!G"&amp;C140)=0,"N/A",INDIRECT("'"&amp;B140&amp;"'!G"&amp;C140))</f>
        <v>4</v>
      </c>
      <c r="M140" s="253" t="str" cm="1">
        <f t="array" aca="1" ref="M140" ca="1">IF(INDIRECT("'"&amp;B140&amp;"'!H"&amp;C140)=0,"N/A",INDIRECT("'"&amp;B140&amp;"'!H"&amp;C140))</f>
        <v>8.5 #4</v>
      </c>
      <c r="N140" s="221" t="str" cm="1">
        <f t="array" aca="1" ref="N140" ca="1">IF(INDIRECT("'"&amp;B140&amp;"'!I"&amp;C140)=0,"N/A",INDIRECT("'"&amp;B140&amp;"'!I"&amp;C140))</f>
        <v>การใช้อุปกรณ์ส่วนตัวของพนักงาน (bring your own device : BYOD)
มีกระบวนการหรือเครื่องมือตรวจสอบ วิเคราะห์ และติดตามความเสี่ยงของอุปกรณ์ที่นำมาใช้งาน เช่น ระบบบริหารจัดการอุปกรณ์เคลื่อนที่ (mobile device management : MDM) เป็นต้น</v>
      </c>
      <c r="O140" s="533" t="str" cm="1">
        <f t="array" aca="1" ref="O140" ca="1">IF(INDIRECT("'"&amp;B140&amp;"'!N"&amp;C140)=0,"N/A",INDIRECT("'"&amp;B140&amp;"'!N"&amp;C140))</f>
        <v>Yes/Partial/No</v>
      </c>
      <c r="P140" s="527" t="str" cm="1">
        <f t="array" aca="1" ref="P140" ca="1">IF(INDIRECT("'"&amp;B140&amp;"'!L"&amp;C140)=0,"",INDIRECT("'"&amp;B140&amp;"'!L"&amp;C140))</f>
        <v/>
      </c>
      <c r="Q140" s="527" t="str">
        <f t="shared" ca="1" si="16"/>
        <v/>
      </c>
      <c r="R140" s="563" t="str">
        <f t="shared" ca="1" si="17"/>
        <v>Yes</v>
      </c>
      <c r="S140" s="528" t="s">
        <v>1591</v>
      </c>
      <c r="T140" s="529" t="str">
        <f t="shared" si="18"/>
        <v/>
      </c>
      <c r="U140" s="529" t="str">
        <f t="shared" si="19"/>
        <v/>
      </c>
      <c r="V140" s="529" t="str">
        <f t="shared" si="20"/>
        <v/>
      </c>
      <c r="W140" s="529" t="str">
        <f t="shared" si="21"/>
        <v>X</v>
      </c>
      <c r="X140" s="529" t="str">
        <f t="shared" si="22"/>
        <v/>
      </c>
      <c r="Y140" s="529" t="str">
        <f t="shared" si="23"/>
        <v/>
      </c>
    </row>
    <row r="141" spans="1:25" ht="125.25" x14ac:dyDescent="0.2">
      <c r="A141" s="253" t="s">
        <v>921</v>
      </c>
      <c r="B141" s="253" t="s">
        <v>1595</v>
      </c>
      <c r="C141" s="253">
        <v>51</v>
      </c>
      <c r="D141" s="253" t="s">
        <v>1579</v>
      </c>
      <c r="E141" s="253" t="s">
        <v>1606</v>
      </c>
      <c r="F141" s="253" t="s">
        <v>1571</v>
      </c>
      <c r="G141" s="215" t="str" cm="1">
        <f t="array" aca="1" ref="G141" ca="1">IF(INDIRECT("'"&amp;B141&amp;"'!B"&amp;C141)=0,"",INDIRECT("'"&amp;B141&amp;"'!B"&amp;C141))</f>
        <v>x</v>
      </c>
      <c r="H141" s="215" t="str" cm="1">
        <f t="array" aca="1" ref="H141" ca="1">IF(INDIRECT("'"&amp;B141&amp;"'!C"&amp;C141)=0,"",INDIRECT("'"&amp;B141&amp;"'!C"&amp;C141))</f>
        <v>x</v>
      </c>
      <c r="I141" s="215" t="str" cm="1">
        <f t="array" aca="1" ref="I141" ca="1">IF(INDIRECT("'"&amp;B141&amp;"'!D"&amp;C141)=0,"",INDIRECT("'"&amp;B141&amp;"'!D"&amp;C141))</f>
        <v>x</v>
      </c>
      <c r="J141" s="215" t="str" cm="1">
        <f t="array" aca="1" ref="J141" ca="1">IF(INDIRECT("'"&amp;B141&amp;"'!E"&amp;C141)=0,"",INDIRECT("'"&amp;B141&amp;"'!E"&amp;C141))</f>
        <v/>
      </c>
      <c r="K141" s="253" cm="1">
        <f t="array" aca="1" ref="K141" ca="1">IF(INDIRECT("'"&amp;B141&amp;"'!F"&amp;C141)=0,"N/A",INDIRECT("'"&amp;B141&amp;"'!F"&amp;C141))</f>
        <v>8.6</v>
      </c>
      <c r="L141" s="253" cm="1">
        <f t="array" aca="1" ref="L141" ca="1">IF(INDIRECT("'"&amp;B141&amp;"'!G"&amp;C141)=0,"N/A",INDIRECT("'"&amp;B141&amp;"'!G"&amp;C141))</f>
        <v>1</v>
      </c>
      <c r="M141" s="253" t="str" cm="1">
        <f t="array" aca="1" ref="M141" ca="1">IF(INDIRECT("'"&amp;B141&amp;"'!H"&amp;C141)=0,"N/A",INDIRECT("'"&amp;B141&amp;"'!H"&amp;C141))</f>
        <v>8.6 #1</v>
      </c>
      <c r="N141" s="221" t="str" cm="1">
        <f t="array" aca="1" ref="N141" ca="1">IF(INDIRECT("'"&amp;B141&amp;"'!I"&amp;C141)=0,"N/A",INDIRECT("'"&amp;B141&amp;"'!I"&amp;C141))</f>
        <v xml:space="preserve">มีการกําหนดมาตรฐานหรือวิธีปฏิบัติในการสํารองข้อมูลที่สอดคล้องกับระยะเวลาเป้าหมายในการกู้คืนระบบ IT  (recovery time objective : RTO) และระยะเวลาเป้าหมายสูงสุดที่ยอมให้ข้อมูลเสียหาย (recovery point objective : RPO) โดยอย่างน้อยควรมีรายละเอียดครอบคลุม 
  (1) ข้อมูลที่ต้องสำรอง
  (2) ความถี่หรือรอบเวลาในการสำรองข้อมูล 
  (3) ขั้นตอนและวิธีการสำรองข้อมูล
  (4) ขั้นตอนและวิธีการกู้คืนข้อมูล 
  (5) สถานที่และวิธีการเก็บรักษาสื่อบันทึกข้อมูล 
</v>
      </c>
      <c r="O141" s="533" t="str" cm="1">
        <f t="array" aca="1" ref="O141" ca="1">IF(INDIRECT("'"&amp;B141&amp;"'!N"&amp;C141)=0,"N/A",INDIRECT("'"&amp;B141&amp;"'!N"&amp;C141))</f>
        <v>Yes/Partial/No</v>
      </c>
      <c r="P141" s="527" t="str" cm="1">
        <f t="array" aca="1" ref="P141" ca="1">IF(INDIRECT("'"&amp;B141&amp;"'!L"&amp;C141)=0,"",INDIRECT("'"&amp;B141&amp;"'!L"&amp;C141))</f>
        <v/>
      </c>
      <c r="Q141" s="527" t="str">
        <f t="shared" ca="1" si="16"/>
        <v/>
      </c>
      <c r="R141" s="563" t="str">
        <f t="shared" ca="1" si="17"/>
        <v>Yes</v>
      </c>
      <c r="S141" s="528" t="s">
        <v>1607</v>
      </c>
      <c r="T141" s="529" t="str">
        <f t="shared" si="18"/>
        <v>X</v>
      </c>
      <c r="U141" s="529" t="str">
        <f t="shared" si="19"/>
        <v/>
      </c>
      <c r="V141" s="529" t="str">
        <f t="shared" si="20"/>
        <v>X</v>
      </c>
      <c r="W141" s="529" t="str">
        <f t="shared" si="21"/>
        <v/>
      </c>
      <c r="X141" s="529" t="str">
        <f t="shared" si="22"/>
        <v/>
      </c>
      <c r="Y141" s="529" t="str">
        <f t="shared" si="23"/>
        <v/>
      </c>
    </row>
    <row r="142" spans="1:25" ht="37.6" x14ac:dyDescent="0.2">
      <c r="A142" s="253" t="s">
        <v>925</v>
      </c>
      <c r="B142" s="253" t="s">
        <v>1595</v>
      </c>
      <c r="C142" s="253">
        <v>52</v>
      </c>
      <c r="D142" s="253" t="s">
        <v>1579</v>
      </c>
      <c r="E142" s="253" t="s">
        <v>1606</v>
      </c>
      <c r="F142" s="253" t="s">
        <v>1571</v>
      </c>
      <c r="G142" s="215" t="str" cm="1">
        <f t="array" aca="1" ref="G142" ca="1">IF(INDIRECT("'"&amp;B142&amp;"'!B"&amp;C142)=0,"",INDIRECT("'"&amp;B142&amp;"'!B"&amp;C142))</f>
        <v>x</v>
      </c>
      <c r="H142" s="215" t="str" cm="1">
        <f t="array" aca="1" ref="H142" ca="1">IF(INDIRECT("'"&amp;B142&amp;"'!C"&amp;C142)=0,"",INDIRECT("'"&amp;B142&amp;"'!C"&amp;C142))</f>
        <v>x</v>
      </c>
      <c r="I142" s="215" t="str" cm="1">
        <f t="array" aca="1" ref="I142" ca="1">IF(INDIRECT("'"&amp;B142&amp;"'!D"&amp;C142)=0,"",INDIRECT("'"&amp;B142&amp;"'!D"&amp;C142))</f>
        <v>x</v>
      </c>
      <c r="J142" s="215" t="str" cm="1">
        <f t="array" aca="1" ref="J142" ca="1">IF(INDIRECT("'"&amp;B142&amp;"'!E"&amp;C142)=0,"",INDIRECT("'"&amp;B142&amp;"'!E"&amp;C142))</f>
        <v/>
      </c>
      <c r="K142" s="253" cm="1">
        <f t="array" aca="1" ref="K142" ca="1">IF(INDIRECT("'"&amp;B142&amp;"'!F"&amp;C142)=0,"N/A",INDIRECT("'"&amp;B142&amp;"'!F"&amp;C142))</f>
        <v>8.6</v>
      </c>
      <c r="L142" s="253" cm="1">
        <f t="array" aca="1" ref="L142" ca="1">IF(INDIRECT("'"&amp;B142&amp;"'!G"&amp;C142)=0,"N/A",INDIRECT("'"&amp;B142&amp;"'!G"&amp;C142))</f>
        <v>2</v>
      </c>
      <c r="M142" s="253" t="str" cm="1">
        <f t="array" aca="1" ref="M142" ca="1">IF(INDIRECT("'"&amp;B142&amp;"'!H"&amp;C142)=0,"N/A",INDIRECT("'"&amp;B142&amp;"'!H"&amp;C142))</f>
        <v>8.6 #2</v>
      </c>
      <c r="N142" s="221" t="str" cm="1">
        <f t="array" aca="1" ref="N142" ca="1">IF(INDIRECT("'"&amp;B142&amp;"'!I"&amp;C142)=0,"N/A",INDIRECT("'"&amp;B142&amp;"'!I"&amp;C142))</f>
        <v>มีการจัดเก็บสื่อบันทึกข้อมูลสำรอง พร้อมทั้งสำเนาขั้นตอนหรือวิธีปฏิบัติงานต่าง ๆ ไว้นอกศูนย์คอมพิวเตอร์หลักหรือนอกสถานที่ปฏิบัติงานหลัก โดยสถานที่ดังกล่าวควรจัดให้มีมาตรการรักษาความปลอดภัยเทียบเคียงกับศูนย์คอมพิวเตอร์หลักหรือสถานที่ปฏิบัติงานหลัก</v>
      </c>
      <c r="O142" s="533" t="str" cm="1">
        <f t="array" aca="1" ref="O142" ca="1">IF(INDIRECT("'"&amp;B142&amp;"'!N"&amp;C142)=0,"N/A",INDIRECT("'"&amp;B142&amp;"'!N"&amp;C142))</f>
        <v>Yes/Partial/No</v>
      </c>
      <c r="P142" s="527" t="str" cm="1">
        <f t="array" aca="1" ref="P142" ca="1">IF(INDIRECT("'"&amp;B142&amp;"'!L"&amp;C142)=0,"",INDIRECT("'"&amp;B142&amp;"'!L"&amp;C142))</f>
        <v/>
      </c>
      <c r="Q142" s="527" t="str">
        <f t="shared" ca="1" si="16"/>
        <v/>
      </c>
      <c r="R142" s="563" t="str">
        <f t="shared" ca="1" si="17"/>
        <v>Yes</v>
      </c>
      <c r="S142" s="528" t="s">
        <v>1608</v>
      </c>
      <c r="T142" s="529" t="str">
        <f t="shared" si="18"/>
        <v/>
      </c>
      <c r="U142" s="529" t="str">
        <f t="shared" si="19"/>
        <v/>
      </c>
      <c r="V142" s="529" t="str">
        <f t="shared" si="20"/>
        <v>X</v>
      </c>
      <c r="W142" s="529" t="str">
        <f t="shared" si="21"/>
        <v/>
      </c>
      <c r="X142" s="529" t="str">
        <f t="shared" si="22"/>
        <v/>
      </c>
      <c r="Y142" s="529" t="str">
        <f t="shared" si="23"/>
        <v/>
      </c>
    </row>
    <row r="143" spans="1:25" ht="25.05" x14ac:dyDescent="0.2">
      <c r="A143" s="253" t="s">
        <v>929</v>
      </c>
      <c r="B143" s="253" t="s">
        <v>1595</v>
      </c>
      <c r="C143" s="253">
        <v>53</v>
      </c>
      <c r="D143" s="253" t="s">
        <v>1579</v>
      </c>
      <c r="E143" s="253" t="s">
        <v>1606</v>
      </c>
      <c r="F143" s="253" t="s">
        <v>1571</v>
      </c>
      <c r="G143" s="215" t="str" cm="1">
        <f t="array" aca="1" ref="G143" ca="1">IF(INDIRECT("'"&amp;B143&amp;"'!B"&amp;C143)=0,"",INDIRECT("'"&amp;B143&amp;"'!B"&amp;C143))</f>
        <v>x</v>
      </c>
      <c r="H143" s="215" t="str" cm="1">
        <f t="array" aca="1" ref="H143" ca="1">IF(INDIRECT("'"&amp;B143&amp;"'!C"&amp;C143)=0,"",INDIRECT("'"&amp;B143&amp;"'!C"&amp;C143))</f>
        <v>x</v>
      </c>
      <c r="I143" s="215" t="str" cm="1">
        <f t="array" aca="1" ref="I143" ca="1">IF(INDIRECT("'"&amp;B143&amp;"'!D"&amp;C143)=0,"",INDIRECT("'"&amp;B143&amp;"'!D"&amp;C143))</f>
        <v>x</v>
      </c>
      <c r="J143" s="215" t="str" cm="1">
        <f t="array" aca="1" ref="J143" ca="1">IF(INDIRECT("'"&amp;B143&amp;"'!E"&amp;C143)=0,"",INDIRECT("'"&amp;B143&amp;"'!E"&amp;C143))</f>
        <v/>
      </c>
      <c r="K143" s="253" cm="1">
        <f t="array" aca="1" ref="K143" ca="1">IF(INDIRECT("'"&amp;B143&amp;"'!F"&amp;C143)=0,"N/A",INDIRECT("'"&amp;B143&amp;"'!F"&amp;C143))</f>
        <v>8.6</v>
      </c>
      <c r="L143" s="253" cm="1">
        <f t="array" aca="1" ref="L143" ca="1">IF(INDIRECT("'"&amp;B143&amp;"'!G"&amp;C143)=0,"N/A",INDIRECT("'"&amp;B143&amp;"'!G"&amp;C143))</f>
        <v>3</v>
      </c>
      <c r="M143" s="253" t="str" cm="1">
        <f t="array" aca="1" ref="M143" ca="1">IF(INDIRECT("'"&amp;B143&amp;"'!H"&amp;C143)=0,"N/A",INDIRECT("'"&amp;B143&amp;"'!H"&amp;C143))</f>
        <v>8.6 #3</v>
      </c>
      <c r="N143" s="221" t="str" cm="1">
        <f t="array" aca="1" ref="N143" ca="1">IF(INDIRECT("'"&amp;B143&amp;"'!I"&amp;C143)=0,"N/A",INDIRECT("'"&amp;B143&amp;"'!I"&amp;C143))</f>
        <v>มีการจัดให้มีการสอบทานการสำรองข้อมูล และทดสอบข้อมูลสำรองอย่างน้อยปีละ 1 ครั้ง เพื่อให้มั่นใจว่าการสำรองข้อมูลมีความครบถ้วนถูกต้อง พร้อมใช้งาน และปลอดภัย</v>
      </c>
      <c r="O143" s="533" t="str" cm="1">
        <f t="array" aca="1" ref="O143" ca="1">IF(INDIRECT("'"&amp;B143&amp;"'!N"&amp;C143)=0,"N/A",INDIRECT("'"&amp;B143&amp;"'!N"&amp;C143))</f>
        <v>Yes/Partial/No</v>
      </c>
      <c r="P143" s="527" t="str" cm="1">
        <f t="array" aca="1" ref="P143" ca="1">IF(INDIRECT("'"&amp;B143&amp;"'!L"&amp;C143)=0,"",INDIRECT("'"&amp;B143&amp;"'!L"&amp;C143))</f>
        <v/>
      </c>
      <c r="Q143" s="527" t="str">
        <f t="shared" ca="1" si="16"/>
        <v/>
      </c>
      <c r="R143" s="563" t="str">
        <f t="shared" ca="1" si="17"/>
        <v>Yes</v>
      </c>
      <c r="S143" s="528" t="s">
        <v>1608</v>
      </c>
      <c r="T143" s="529" t="str">
        <f t="shared" si="18"/>
        <v/>
      </c>
      <c r="U143" s="529" t="str">
        <f t="shared" si="19"/>
        <v/>
      </c>
      <c r="V143" s="529" t="str">
        <f t="shared" si="20"/>
        <v>X</v>
      </c>
      <c r="W143" s="529" t="str">
        <f t="shared" si="21"/>
        <v/>
      </c>
      <c r="X143" s="529" t="str">
        <f t="shared" si="22"/>
        <v/>
      </c>
      <c r="Y143" s="529" t="str">
        <f t="shared" si="23"/>
        <v/>
      </c>
    </row>
    <row r="144" spans="1:25" ht="37.6" x14ac:dyDescent="0.2">
      <c r="A144" s="253" t="s">
        <v>933</v>
      </c>
      <c r="B144" s="253" t="s">
        <v>1595</v>
      </c>
      <c r="C144" s="253">
        <v>54</v>
      </c>
      <c r="D144" s="253" t="s">
        <v>1579</v>
      </c>
      <c r="E144" s="253" t="s">
        <v>1606</v>
      </c>
      <c r="F144" s="253" t="s">
        <v>1571</v>
      </c>
      <c r="G144" s="215" t="str" cm="1">
        <f t="array" aca="1" ref="G144" ca="1">IF(INDIRECT("'"&amp;B144&amp;"'!B"&amp;C144)=0,"",INDIRECT("'"&amp;B144&amp;"'!B"&amp;C144))</f>
        <v>x</v>
      </c>
      <c r="H144" s="215" t="str" cm="1">
        <f t="array" aca="1" ref="H144" ca="1">IF(INDIRECT("'"&amp;B144&amp;"'!C"&amp;C144)=0,"",INDIRECT("'"&amp;B144&amp;"'!C"&amp;C144))</f>
        <v>x</v>
      </c>
      <c r="I144" s="215" t="str" cm="1">
        <f t="array" aca="1" ref="I144" ca="1">IF(INDIRECT("'"&amp;B144&amp;"'!D"&amp;C144)=0,"",INDIRECT("'"&amp;B144&amp;"'!D"&amp;C144))</f>
        <v>x</v>
      </c>
      <c r="J144" s="215" t="str" cm="1">
        <f t="array" aca="1" ref="J144" ca="1">IF(INDIRECT("'"&amp;B144&amp;"'!E"&amp;C144)=0,"",INDIRECT("'"&amp;B144&amp;"'!E"&amp;C144))</f>
        <v/>
      </c>
      <c r="K144" s="253" cm="1">
        <f t="array" aca="1" ref="K144" ca="1">IF(INDIRECT("'"&amp;B144&amp;"'!F"&amp;C144)=0,"N/A",INDIRECT("'"&amp;B144&amp;"'!F"&amp;C144))</f>
        <v>8.6</v>
      </c>
      <c r="L144" s="253" cm="1">
        <f t="array" aca="1" ref="L144" ca="1">IF(INDIRECT("'"&amp;B144&amp;"'!G"&amp;C144)=0,"N/A",INDIRECT("'"&amp;B144&amp;"'!G"&amp;C144))</f>
        <v>4</v>
      </c>
      <c r="M144" s="253" t="str" cm="1">
        <f t="array" aca="1" ref="M144" ca="1">IF(INDIRECT("'"&amp;B144&amp;"'!H"&amp;C144)=0,"N/A",INDIRECT("'"&amp;B144&amp;"'!H"&amp;C144))</f>
        <v>8.6 #4</v>
      </c>
      <c r="N144" s="221" t="str" cm="1">
        <f t="array" aca="1" ref="N144" ca="1">IF(INDIRECT("'"&amp;B144&amp;"'!I"&amp;C144)=0,"N/A",INDIRECT("'"&amp;B144&amp;"'!I"&amp;C144))</f>
        <v xml:space="preserve">ในกรณีที่จำเป็นต้องจัดเก็บข้อมูลเป็นระยะเวลานาน มีวิธีการนำข้อมูลกลับมาใช้งานในอนาคตด้วย เช่น กรณีที่จัดเก็บข้อมูลในสื่อบันทึกประเภทใด ควรมีการเก็บอุปกรณ์และโปรแกรม ที่เกี่ยวข้องสำหรับใช้อ่านสื่อบันทึกประเภทนั้นไว้ด้วยเช่นกัน เป็นต้น </v>
      </c>
      <c r="O144" s="533" t="str" cm="1">
        <f t="array" aca="1" ref="O144" ca="1">IF(INDIRECT("'"&amp;B144&amp;"'!N"&amp;C144)=0,"N/A",INDIRECT("'"&amp;B144&amp;"'!N"&amp;C144))</f>
        <v>Yes/Partial/No</v>
      </c>
      <c r="P144" s="527" t="str" cm="1">
        <f t="array" aca="1" ref="P144" ca="1">IF(INDIRECT("'"&amp;B144&amp;"'!L"&amp;C144)=0,"",INDIRECT("'"&amp;B144&amp;"'!L"&amp;C144))</f>
        <v/>
      </c>
      <c r="Q144" s="527" t="str">
        <f t="shared" ca="1" si="16"/>
        <v/>
      </c>
      <c r="R144" s="563" t="str">
        <f t="shared" ca="1" si="17"/>
        <v>Yes</v>
      </c>
      <c r="S144" s="528" t="s">
        <v>1609</v>
      </c>
      <c r="T144" s="529" t="str">
        <f t="shared" si="18"/>
        <v/>
      </c>
      <c r="U144" s="529" t="str">
        <f t="shared" si="19"/>
        <v/>
      </c>
      <c r="V144" s="529" t="str">
        <f t="shared" si="20"/>
        <v>X</v>
      </c>
      <c r="W144" s="529" t="str">
        <f t="shared" si="21"/>
        <v/>
      </c>
      <c r="X144" s="529" t="str">
        <f t="shared" si="22"/>
        <v/>
      </c>
      <c r="Y144" s="529" t="str">
        <f t="shared" si="23"/>
        <v>X</v>
      </c>
    </row>
    <row r="145" spans="1:25" ht="50.1" x14ac:dyDescent="0.2">
      <c r="A145" s="253" t="s">
        <v>938</v>
      </c>
      <c r="B145" s="253" t="s">
        <v>1595</v>
      </c>
      <c r="C145" s="253">
        <v>56</v>
      </c>
      <c r="D145" s="253" t="s">
        <v>1579</v>
      </c>
      <c r="E145" s="253" t="s">
        <v>1610</v>
      </c>
      <c r="F145" s="253" t="s">
        <v>1571</v>
      </c>
      <c r="G145" s="215" t="str" cm="1">
        <f t="array" aca="1" ref="G145" ca="1">IF(INDIRECT("'"&amp;B145&amp;"'!B"&amp;C145)=0,"",INDIRECT("'"&amp;B145&amp;"'!B"&amp;C145))</f>
        <v>x</v>
      </c>
      <c r="H145" s="215" t="str" cm="1">
        <f t="array" aca="1" ref="H145" ca="1">IF(INDIRECT("'"&amp;B145&amp;"'!C"&amp;C145)=0,"",INDIRECT("'"&amp;B145&amp;"'!C"&amp;C145))</f>
        <v>x</v>
      </c>
      <c r="I145" s="215" t="str" cm="1">
        <f t="array" aca="1" ref="I145" ca="1">IF(INDIRECT("'"&amp;B145&amp;"'!D"&amp;C145)=0,"",INDIRECT("'"&amp;B145&amp;"'!D"&amp;C145))</f>
        <v>x</v>
      </c>
      <c r="J145" s="215" t="str" cm="1">
        <f t="array" aca="1" ref="J145" ca="1">IF(INDIRECT("'"&amp;B145&amp;"'!E"&amp;C145)=0,"",INDIRECT("'"&amp;B145&amp;"'!E"&amp;C145))</f>
        <v/>
      </c>
      <c r="K145" s="253" cm="1">
        <f t="array" aca="1" ref="K145" ca="1">IF(INDIRECT("'"&amp;B145&amp;"'!F"&amp;C145)=0,"N/A",INDIRECT("'"&amp;B145&amp;"'!F"&amp;C145))</f>
        <v>8.6999999999999993</v>
      </c>
      <c r="L145" s="253" t="str" cm="1">
        <f t="array" aca="1" ref="L145" ca="1">IF(INDIRECT("'"&amp;B145&amp;"'!G"&amp;C145)=0,"N/A",INDIRECT("'"&amp;B145&amp;"'!G"&amp;C145))</f>
        <v>1(1)</v>
      </c>
      <c r="M145" s="253" t="str" cm="1">
        <f t="array" aca="1" ref="M145" ca="1">IF(INDIRECT("'"&amp;B145&amp;"'!H"&amp;C145)=0,"N/A",INDIRECT("'"&amp;B145&amp;"'!H"&amp;C145))</f>
        <v>8.7 #1(1)</v>
      </c>
      <c r="N145" s="221" t="str" cm="1">
        <f t="array" aca="1" ref="N145" ca="1">IF(INDIRECT("'"&amp;B145&amp;"'!I"&amp;C145)=0,"N/A",INDIRECT("'"&amp;B145&amp;"'!I"&amp;C145))</f>
        <v>มีการจัดเก็บข้อมูลบันทึกเหตุการณ์การเข้า-ออกศูนย์คอมพิวเตอร์ และพื้นที่ที่เกี่ยวข้องกับระบบ IT ที่มีนัยสำคัญ (physical access log) ด้วยวิธีการที่ปลอดภัย โดยมีรายละเอียดครบถ้วนเพียงพอที่จะใช้เป็นหลักฐานในการตรวจสอบที่สามารถระบุตัวบุคคล ผู้กระทำได้ และจัดเก็บเป็นระยะเวลาอย่างน้อย 90 วัน หรือจัดเก็บตามกฎหมายที่เกี่ยวข้องกำหนด</v>
      </c>
      <c r="O145" s="533" t="str" cm="1">
        <f t="array" aca="1" ref="O145" ca="1">IF(INDIRECT("'"&amp;B145&amp;"'!N"&amp;C145)=0,"N/A",INDIRECT("'"&amp;B145&amp;"'!N"&amp;C145))</f>
        <v>Yes/Partial/No</v>
      </c>
      <c r="P145" s="527" t="str" cm="1">
        <f t="array" aca="1" ref="P145" ca="1">IF(INDIRECT("'"&amp;B145&amp;"'!L"&amp;C145)=0,"",INDIRECT("'"&amp;B145&amp;"'!L"&amp;C145))</f>
        <v/>
      </c>
      <c r="Q145" s="527" t="str">
        <f t="shared" ca="1" si="16"/>
        <v/>
      </c>
      <c r="R145" s="563" t="str">
        <f t="shared" ca="1" si="17"/>
        <v>Yes</v>
      </c>
      <c r="S145" s="528" t="s">
        <v>1611</v>
      </c>
      <c r="T145" s="529" t="str">
        <f t="shared" si="18"/>
        <v/>
      </c>
      <c r="U145" s="529" t="str">
        <f t="shared" si="19"/>
        <v/>
      </c>
      <c r="V145" s="529" t="str">
        <f t="shared" si="20"/>
        <v>X</v>
      </c>
      <c r="W145" s="529" t="str">
        <f t="shared" si="21"/>
        <v>X</v>
      </c>
      <c r="X145" s="529" t="str">
        <f t="shared" si="22"/>
        <v/>
      </c>
      <c r="Y145" s="529" t="str">
        <f t="shared" si="23"/>
        <v/>
      </c>
    </row>
    <row r="146" spans="1:25" ht="25.05" x14ac:dyDescent="0.2">
      <c r="A146" s="253" t="s">
        <v>942</v>
      </c>
      <c r="B146" s="253" t="s">
        <v>1595</v>
      </c>
      <c r="C146" s="253">
        <v>57</v>
      </c>
      <c r="D146" s="253" t="s">
        <v>1579</v>
      </c>
      <c r="E146" s="253" t="s">
        <v>1610</v>
      </c>
      <c r="F146" s="253" t="s">
        <v>1571</v>
      </c>
      <c r="G146" s="215" t="str" cm="1">
        <f t="array" aca="1" ref="G146" ca="1">IF(INDIRECT("'"&amp;B146&amp;"'!B"&amp;C146)=0,"",INDIRECT("'"&amp;B146&amp;"'!B"&amp;C146))</f>
        <v>x</v>
      </c>
      <c r="H146" s="215" t="str" cm="1">
        <f t="array" aca="1" ref="H146" ca="1">IF(INDIRECT("'"&amp;B146&amp;"'!C"&amp;C146)=0,"",INDIRECT("'"&amp;B146&amp;"'!C"&amp;C146))</f>
        <v>x</v>
      </c>
      <c r="I146" s="215" t="str" cm="1">
        <f t="array" aca="1" ref="I146" ca="1">IF(INDIRECT("'"&amp;B146&amp;"'!D"&amp;C146)=0,"",INDIRECT("'"&amp;B146&amp;"'!D"&amp;C146))</f>
        <v>x</v>
      </c>
      <c r="J146" s="215" t="str" cm="1">
        <f t="array" aca="1" ref="J146" ca="1">IF(INDIRECT("'"&amp;B146&amp;"'!E"&amp;C146)=0,"",INDIRECT("'"&amp;B146&amp;"'!E"&amp;C146))</f>
        <v/>
      </c>
      <c r="K146" s="253" cm="1">
        <f t="array" aca="1" ref="K146" ca="1">IF(INDIRECT("'"&amp;B146&amp;"'!F"&amp;C146)=0,"N/A",INDIRECT("'"&amp;B146&amp;"'!F"&amp;C146))</f>
        <v>8.6999999999999993</v>
      </c>
      <c r="L146" s="253" t="str" cm="1">
        <f t="array" aca="1" ref="L146" ca="1">IF(INDIRECT("'"&amp;B146&amp;"'!G"&amp;C146)=0,"N/A",INDIRECT("'"&amp;B146&amp;"'!G"&amp;C146))</f>
        <v>1(2)</v>
      </c>
      <c r="M146" s="253" t="str" cm="1">
        <f t="array" aca="1" ref="M146" ca="1">IF(INDIRECT("'"&amp;B146&amp;"'!H"&amp;C146)=0,"N/A",INDIRECT("'"&amp;B146&amp;"'!H"&amp;C146))</f>
        <v>8.7 #1(2)</v>
      </c>
      <c r="N146" s="221" t="str" cm="1">
        <f t="array" aca="1" ref="N146" ca="1">IF(INDIRECT("'"&amp;B146&amp;"'!I"&amp;C146)=0,"N/A",INDIRECT("'"&amp;B146&amp;"'!I"&amp;C146))</f>
        <v>มีการจัดเก็บข้อมูลบันทึกการเข้าถึง (access log) ของเครื่องแม่ข่าย ระบบงาน อุปกรณ์เครือข่าย และข้อมูลที่มีความสำคัญ โดยรวมถึงความพยายามในการเข้าสู่ระบบ (log-in attempt)</v>
      </c>
      <c r="O146" s="533" t="str" cm="1">
        <f t="array" aca="1" ref="O146" ca="1">IF(INDIRECT("'"&amp;B146&amp;"'!N"&amp;C146)=0,"N/A",INDIRECT("'"&amp;B146&amp;"'!N"&amp;C146))</f>
        <v>Yes/Partial/No</v>
      </c>
      <c r="P146" s="527" t="str" cm="1">
        <f t="array" aca="1" ref="P146" ca="1">IF(INDIRECT("'"&amp;B146&amp;"'!L"&amp;C146)=0,"",INDIRECT("'"&amp;B146&amp;"'!L"&amp;C146))</f>
        <v/>
      </c>
      <c r="Q146" s="527" t="str">
        <f t="shared" ca="1" si="16"/>
        <v/>
      </c>
      <c r="R146" s="563" t="str">
        <f t="shared" ca="1" si="17"/>
        <v>Yes</v>
      </c>
      <c r="S146" s="528" t="s">
        <v>1611</v>
      </c>
      <c r="T146" s="529" t="str">
        <f t="shared" si="18"/>
        <v/>
      </c>
      <c r="U146" s="529" t="str">
        <f t="shared" si="19"/>
        <v/>
      </c>
      <c r="V146" s="529" t="str">
        <f t="shared" si="20"/>
        <v>X</v>
      </c>
      <c r="W146" s="529" t="str">
        <f t="shared" si="21"/>
        <v>X</v>
      </c>
      <c r="X146" s="529" t="str">
        <f t="shared" si="22"/>
        <v/>
      </c>
      <c r="Y146" s="529" t="str">
        <f t="shared" si="23"/>
        <v/>
      </c>
    </row>
    <row r="147" spans="1:25" ht="75.150000000000006" x14ac:dyDescent="0.2">
      <c r="A147" s="253" t="s">
        <v>946</v>
      </c>
      <c r="B147" s="253" t="s">
        <v>1595</v>
      </c>
      <c r="C147" s="253">
        <v>58</v>
      </c>
      <c r="D147" s="253" t="s">
        <v>1579</v>
      </c>
      <c r="E147" s="253" t="s">
        <v>1610</v>
      </c>
      <c r="F147" s="253" t="s">
        <v>1571</v>
      </c>
      <c r="G147" s="215" t="str" cm="1">
        <f t="array" aca="1" ref="G147" ca="1">IF(INDIRECT("'"&amp;B147&amp;"'!B"&amp;C147)=0,"",INDIRECT("'"&amp;B147&amp;"'!B"&amp;C147))</f>
        <v>x</v>
      </c>
      <c r="H147" s="215" t="str" cm="1">
        <f t="array" aca="1" ref="H147" ca="1">IF(INDIRECT("'"&amp;B147&amp;"'!C"&amp;C147)=0,"",INDIRECT("'"&amp;B147&amp;"'!C"&amp;C147))</f>
        <v>x</v>
      </c>
      <c r="I147" s="215" t="str" cm="1">
        <f t="array" aca="1" ref="I147" ca="1">IF(INDIRECT("'"&amp;B147&amp;"'!D"&amp;C147)=0,"",INDIRECT("'"&amp;B147&amp;"'!D"&amp;C147))</f>
        <v>x</v>
      </c>
      <c r="J147" s="215" t="str" cm="1">
        <f t="array" aca="1" ref="J147" ca="1">IF(INDIRECT("'"&amp;B147&amp;"'!E"&amp;C147)=0,"",INDIRECT("'"&amp;B147&amp;"'!E"&amp;C147))</f>
        <v/>
      </c>
      <c r="K147" s="253" cm="1">
        <f t="array" aca="1" ref="K147" ca="1">IF(INDIRECT("'"&amp;B147&amp;"'!F"&amp;C147)=0,"N/A",INDIRECT("'"&amp;B147&amp;"'!F"&amp;C147))</f>
        <v>8.6999999999999993</v>
      </c>
      <c r="L147" s="253" t="str" cm="1">
        <f t="array" aca="1" ref="L147" ca="1">IF(INDIRECT("'"&amp;B147&amp;"'!G"&amp;C147)=0,"N/A",INDIRECT("'"&amp;B147&amp;"'!G"&amp;C147))</f>
        <v>1(3)</v>
      </c>
      <c r="M147" s="253" t="str" cm="1">
        <f t="array" aca="1" ref="M147" ca="1">IF(INDIRECT("'"&amp;B147&amp;"'!H"&amp;C147)=0,"N/A",INDIRECT("'"&amp;B147&amp;"'!H"&amp;C147))</f>
        <v>8.7 #1(3)</v>
      </c>
      <c r="N147" s="221" t="str" cm="1">
        <f t="array" aca="1" ref="N147" ca="1">IF(INDIRECT("'"&amp;B147&amp;"'!I"&amp;C147)=0,"N/A",INDIRECT("'"&amp;B147&amp;"'!I"&amp;C147))</f>
        <v xml:space="preserve">มีการจัดเก็บข้อมูลบันทึกการดำเนินงาน (activity log) ที่สำคัญ โดยอย่างน้อยครอบคลุม
    (1) การเปลี่ยนแปลงแก้ไขโครงสร้างฐานข้อมูล (database schema log) และการเปลี่ยนแปลงแก้ไขข้อมูลในตารางที่สำคัญ
    (2) การเปลี่ยนแปลงแก้ไขการตั้งค่าของระบบ (system configuration)
    (3) การเปลี่ยนแปลงแก้ไขบัญชี และสิทธิของผู้ใช้งาน
</v>
      </c>
      <c r="O147" s="533" t="str" cm="1">
        <f t="array" aca="1" ref="O147" ca="1">IF(INDIRECT("'"&amp;B147&amp;"'!N"&amp;C147)=0,"N/A",INDIRECT("'"&amp;B147&amp;"'!N"&amp;C147))</f>
        <v>Yes/Partial/No</v>
      </c>
      <c r="P147" s="527" t="str" cm="1">
        <f t="array" aca="1" ref="P147" ca="1">IF(INDIRECT("'"&amp;B147&amp;"'!L"&amp;C147)=0,"",INDIRECT("'"&amp;B147&amp;"'!L"&amp;C147))</f>
        <v/>
      </c>
      <c r="Q147" s="527" t="str">
        <f t="shared" ca="1" si="16"/>
        <v/>
      </c>
      <c r="R147" s="563" t="str">
        <f t="shared" ca="1" si="17"/>
        <v>Yes</v>
      </c>
      <c r="S147" s="528" t="s">
        <v>1608</v>
      </c>
      <c r="T147" s="529" t="str">
        <f t="shared" si="18"/>
        <v/>
      </c>
      <c r="U147" s="529" t="str">
        <f t="shared" si="19"/>
        <v/>
      </c>
      <c r="V147" s="529" t="str">
        <f t="shared" si="20"/>
        <v>X</v>
      </c>
      <c r="W147" s="529" t="str">
        <f t="shared" si="21"/>
        <v/>
      </c>
      <c r="X147" s="529" t="str">
        <f t="shared" si="22"/>
        <v/>
      </c>
      <c r="Y147" s="529" t="str">
        <f t="shared" si="23"/>
        <v/>
      </c>
    </row>
    <row r="148" spans="1:25" ht="25.05" x14ac:dyDescent="0.2">
      <c r="A148" s="253" t="s">
        <v>950</v>
      </c>
      <c r="B148" s="253" t="s">
        <v>1595</v>
      </c>
      <c r="C148" s="253">
        <v>59</v>
      </c>
      <c r="D148" s="253" t="s">
        <v>1579</v>
      </c>
      <c r="E148" s="253" t="s">
        <v>1610</v>
      </c>
      <c r="F148" s="253" t="s">
        <v>1571</v>
      </c>
      <c r="G148" s="215" t="str" cm="1">
        <f t="array" aca="1" ref="G148" ca="1">IF(INDIRECT("'"&amp;B148&amp;"'!B"&amp;C148)=0,"",INDIRECT("'"&amp;B148&amp;"'!B"&amp;C148))</f>
        <v>x</v>
      </c>
      <c r="H148" s="215" t="str" cm="1">
        <f t="array" aca="1" ref="H148" ca="1">IF(INDIRECT("'"&amp;B148&amp;"'!C"&amp;C148)=0,"",INDIRECT("'"&amp;B148&amp;"'!C"&amp;C148))</f>
        <v>x</v>
      </c>
      <c r="I148" s="215" t="str" cm="1">
        <f t="array" aca="1" ref="I148" ca="1">IF(INDIRECT("'"&amp;B148&amp;"'!D"&amp;C148)=0,"",INDIRECT("'"&amp;B148&amp;"'!D"&amp;C148))</f>
        <v>x</v>
      </c>
      <c r="J148" s="215" t="str" cm="1">
        <f t="array" aca="1" ref="J148" ca="1">IF(INDIRECT("'"&amp;B148&amp;"'!E"&amp;C148)=0,"",INDIRECT("'"&amp;B148&amp;"'!E"&amp;C148))</f>
        <v/>
      </c>
      <c r="K148" s="253" cm="1">
        <f t="array" aca="1" ref="K148" ca="1">IF(INDIRECT("'"&amp;B148&amp;"'!F"&amp;C148)=0,"N/A",INDIRECT("'"&amp;B148&amp;"'!F"&amp;C148))</f>
        <v>8.6999999999999993</v>
      </c>
      <c r="L148" s="253" t="str" cm="1">
        <f t="array" aca="1" ref="L148" ca="1">IF(INDIRECT("'"&amp;B148&amp;"'!G"&amp;C148)=0,"N/A",INDIRECT("'"&amp;B148&amp;"'!G"&amp;C148))</f>
        <v>1(3)</v>
      </c>
      <c r="M148" s="253" t="str" cm="1">
        <f t="array" aca="1" ref="M148" ca="1">IF(INDIRECT("'"&amp;B148&amp;"'!H"&amp;C148)=0,"N/A",INDIRECT("'"&amp;B148&amp;"'!H"&amp;C148))</f>
        <v>8.7 #1(3)</v>
      </c>
      <c r="N148" s="221" t="str" cm="1">
        <f t="array" aca="1" ref="N148" ca="1">IF(INDIRECT("'"&amp;B148&amp;"'!I"&amp;C148)=0,"N/A",INDIRECT("'"&amp;B148&amp;"'!I"&amp;C148))</f>
        <v>มีการจัดเก็บข้อมูลบันทึกการดำเนินงาน (activity log) ที่สำคัญ โดยอย่างน้อยครอบคลุม
    (4) การใช้งานอินเทอร์เน็ตผ่านระบบเครือข่ายภายในของผู้ประกอบธุรกิจ (internet traffic log)</v>
      </c>
      <c r="O148" s="533" t="str" cm="1">
        <f t="array" aca="1" ref="O148" ca="1">IF(INDIRECT("'"&amp;B148&amp;"'!N"&amp;C148)=0,"N/A",INDIRECT("'"&amp;B148&amp;"'!N"&amp;C148))</f>
        <v>Yes/Partial/No</v>
      </c>
      <c r="P148" s="527" t="str" cm="1">
        <f t="array" aca="1" ref="P148" ca="1">IF(INDIRECT("'"&amp;B148&amp;"'!L"&amp;C148)=0,"",INDIRECT("'"&amp;B148&amp;"'!L"&amp;C148))</f>
        <v/>
      </c>
      <c r="Q148" s="527" t="str">
        <f t="shared" ca="1" si="16"/>
        <v/>
      </c>
      <c r="R148" s="563" t="str">
        <f t="shared" ca="1" si="17"/>
        <v>Yes</v>
      </c>
      <c r="S148" s="528" t="s">
        <v>1611</v>
      </c>
      <c r="T148" s="529" t="str">
        <f t="shared" si="18"/>
        <v/>
      </c>
      <c r="U148" s="529" t="str">
        <f t="shared" si="19"/>
        <v/>
      </c>
      <c r="V148" s="529" t="str">
        <f t="shared" si="20"/>
        <v>X</v>
      </c>
      <c r="W148" s="529" t="str">
        <f t="shared" si="21"/>
        <v>X</v>
      </c>
      <c r="X148" s="529" t="str">
        <f t="shared" si="22"/>
        <v/>
      </c>
      <c r="Y148" s="529" t="str">
        <f t="shared" si="23"/>
        <v/>
      </c>
    </row>
    <row r="149" spans="1:25" ht="37.6" x14ac:dyDescent="0.2">
      <c r="A149" s="253" t="s">
        <v>953</v>
      </c>
      <c r="B149" s="253" t="s">
        <v>1595</v>
      </c>
      <c r="C149" s="253">
        <v>60</v>
      </c>
      <c r="D149" s="253" t="s">
        <v>1579</v>
      </c>
      <c r="E149" s="253" t="s">
        <v>1610</v>
      </c>
      <c r="F149" s="253" t="s">
        <v>1571</v>
      </c>
      <c r="G149" s="215" t="str" cm="1">
        <f t="array" aca="1" ref="G149" ca="1">IF(INDIRECT("'"&amp;B149&amp;"'!B"&amp;C149)=0,"",INDIRECT("'"&amp;B149&amp;"'!B"&amp;C149))</f>
        <v>x</v>
      </c>
      <c r="H149" s="215" t="str" cm="1">
        <f t="array" aca="1" ref="H149" ca="1">IF(INDIRECT("'"&amp;B149&amp;"'!C"&amp;C149)=0,"",INDIRECT("'"&amp;B149&amp;"'!C"&amp;C149))</f>
        <v>x</v>
      </c>
      <c r="I149" s="215" t="str" cm="1">
        <f t="array" aca="1" ref="I149" ca="1">IF(INDIRECT("'"&amp;B149&amp;"'!D"&amp;C149)=0,"",INDIRECT("'"&amp;B149&amp;"'!D"&amp;C149))</f>
        <v>x</v>
      </c>
      <c r="J149" s="215" t="str" cm="1">
        <f t="array" aca="1" ref="J149" ca="1">IF(INDIRECT("'"&amp;B149&amp;"'!E"&amp;C149)=0,"",INDIRECT("'"&amp;B149&amp;"'!E"&amp;C149))</f>
        <v/>
      </c>
      <c r="K149" s="253" cm="1">
        <f t="array" aca="1" ref="K149" ca="1">IF(INDIRECT("'"&amp;B149&amp;"'!F"&amp;C149)=0,"N/A",INDIRECT("'"&amp;B149&amp;"'!F"&amp;C149))</f>
        <v>8.6999999999999993</v>
      </c>
      <c r="L149" s="253" t="str" cm="1">
        <f t="array" aca="1" ref="L149" ca="1">IF(INDIRECT("'"&amp;B149&amp;"'!G"&amp;C149)=0,"N/A",INDIRECT("'"&amp;B149&amp;"'!G"&amp;C149))</f>
        <v>1(3)</v>
      </c>
      <c r="M149" s="253" t="str" cm="1">
        <f t="array" aca="1" ref="M149" ca="1">IF(INDIRECT("'"&amp;B149&amp;"'!H"&amp;C149)=0,"N/A",INDIRECT("'"&amp;B149&amp;"'!H"&amp;C149))</f>
        <v>8.7 #1(3)</v>
      </c>
      <c r="N149" s="221" t="str" cm="1">
        <f t="array" aca="1" ref="N149" ca="1">IF(INDIRECT("'"&amp;B149&amp;"'!I"&amp;C149)=0,"N/A",INDIRECT("'"&amp;B149&amp;"'!I"&amp;C149))</f>
        <v xml:space="preserve">มีการจัดเก็บข้อมูลบันทึกการดำเนินงาน (activity log) ที่สำคัญ โดยอย่างน้อยครอบคลุม
    (5) การทำงานของ firewall (network  firewall log)  
 </v>
      </c>
      <c r="O149" s="533" t="str" cm="1">
        <f t="array" aca="1" ref="O149" ca="1">IF(INDIRECT("'"&amp;B149&amp;"'!N"&amp;C149)=0,"N/A",INDIRECT("'"&amp;B149&amp;"'!N"&amp;C149))</f>
        <v>Yes/Partial/No</v>
      </c>
      <c r="P149" s="527" t="str" cm="1">
        <f t="array" aca="1" ref="P149" ca="1">IF(INDIRECT("'"&amp;B149&amp;"'!L"&amp;C149)=0,"",INDIRECT("'"&amp;B149&amp;"'!L"&amp;C149))</f>
        <v/>
      </c>
      <c r="Q149" s="527" t="str">
        <f t="shared" ca="1" si="16"/>
        <v/>
      </c>
      <c r="R149" s="563" t="str">
        <f t="shared" ca="1" si="17"/>
        <v>Yes</v>
      </c>
      <c r="S149" s="528" t="s">
        <v>1611</v>
      </c>
      <c r="T149" s="529" t="str">
        <f t="shared" si="18"/>
        <v/>
      </c>
      <c r="U149" s="529" t="str">
        <f t="shared" si="19"/>
        <v/>
      </c>
      <c r="V149" s="529" t="str">
        <f t="shared" si="20"/>
        <v>X</v>
      </c>
      <c r="W149" s="529" t="str">
        <f t="shared" si="21"/>
        <v>X</v>
      </c>
      <c r="X149" s="529" t="str">
        <f t="shared" si="22"/>
        <v/>
      </c>
      <c r="Y149" s="529" t="str">
        <f t="shared" si="23"/>
        <v/>
      </c>
    </row>
    <row r="150" spans="1:25" ht="37.6" x14ac:dyDescent="0.2">
      <c r="A150" s="253" t="s">
        <v>956</v>
      </c>
      <c r="B150" s="253" t="s">
        <v>1595</v>
      </c>
      <c r="C150" s="253">
        <v>61</v>
      </c>
      <c r="D150" s="253" t="s">
        <v>1579</v>
      </c>
      <c r="E150" s="253" t="s">
        <v>1610</v>
      </c>
      <c r="F150" s="253" t="s">
        <v>1571</v>
      </c>
      <c r="G150" s="215" t="str" cm="1">
        <f t="array" aca="1" ref="G150" ca="1">IF(INDIRECT("'"&amp;B150&amp;"'!B"&amp;C150)=0,"",INDIRECT("'"&amp;B150&amp;"'!B"&amp;C150))</f>
        <v>x</v>
      </c>
      <c r="H150" s="215" t="str" cm="1">
        <f t="array" aca="1" ref="H150" ca="1">IF(INDIRECT("'"&amp;B150&amp;"'!C"&amp;C150)=0,"",INDIRECT("'"&amp;B150&amp;"'!C"&amp;C150))</f>
        <v>x</v>
      </c>
      <c r="I150" s="215" t="str" cm="1">
        <f t="array" aca="1" ref="I150" ca="1">IF(INDIRECT("'"&amp;B150&amp;"'!D"&amp;C150)=0,"",INDIRECT("'"&amp;B150&amp;"'!D"&amp;C150))</f>
        <v>x</v>
      </c>
      <c r="J150" s="215" t="str" cm="1">
        <f t="array" aca="1" ref="J150" ca="1">IF(INDIRECT("'"&amp;B150&amp;"'!E"&amp;C150)=0,"",INDIRECT("'"&amp;B150&amp;"'!E"&amp;C150))</f>
        <v/>
      </c>
      <c r="K150" s="253" cm="1">
        <f t="array" aca="1" ref="K150" ca="1">IF(INDIRECT("'"&amp;B150&amp;"'!F"&amp;C150)=0,"N/A",INDIRECT("'"&amp;B150&amp;"'!F"&amp;C150))</f>
        <v>8.6999999999999993</v>
      </c>
      <c r="L150" s="253" t="str" cm="1">
        <f t="array" aca="1" ref="L150" ca="1">IF(INDIRECT("'"&amp;B150&amp;"'!G"&amp;C150)=0,"N/A",INDIRECT("'"&amp;B150&amp;"'!G"&amp;C150))</f>
        <v>1(4)</v>
      </c>
      <c r="M150" s="253" t="str" cm="1">
        <f t="array" aca="1" ref="M150" ca="1">IF(INDIRECT("'"&amp;B150&amp;"'!H"&amp;C150)=0,"N/A",INDIRECT("'"&amp;B150&amp;"'!H"&amp;C150))</f>
        <v>8.7 #1(4)</v>
      </c>
      <c r="N150" s="221" t="str" cm="1">
        <f t="array" aca="1" ref="N150" ca="1">IF(INDIRECT("'"&amp;B150&amp;"'!I"&amp;C150)=0,"N/A",INDIRECT("'"&amp;B150&amp;"'!I"&amp;C150))</f>
        <v>มีการจัดเก็บข้อมูลบันทึกหลักฐานการติดต่อสนทนาผ่านช่องทางอิเล็กทรอนิกส์ (electronic messaging) ของบุคคลที่สามารถ เข้าถึงข้อมูลภายใน (access person)โดยมีรายละเอียดขั้นต่ำประกอบด้วยบัญชีผู้ใช้งาน / วันเวลาที่เข้าใช้งาน / ข้อมูลการติดต่อตลอดระยะเวลาการสนทนา และจัดเก็บเป็นระยะเวลาอย่างน้อย 6 เดือน</v>
      </c>
      <c r="O150" s="533" t="str" cm="1">
        <f t="array" aca="1" ref="O150" ca="1">IF(INDIRECT("'"&amp;B150&amp;"'!N"&amp;C150)=0,"N/A",INDIRECT("'"&amp;B150&amp;"'!N"&amp;C150))</f>
        <v>Yes/Partial/No</v>
      </c>
      <c r="P150" s="527" t="str" cm="1">
        <f t="array" aca="1" ref="P150" ca="1">IF(INDIRECT("'"&amp;B150&amp;"'!L"&amp;C150)=0,"",INDIRECT("'"&amp;B150&amp;"'!L"&amp;C150))</f>
        <v/>
      </c>
      <c r="Q150" s="527" t="str">
        <f t="shared" ca="1" si="16"/>
        <v/>
      </c>
      <c r="R150" s="563" t="str">
        <f t="shared" ca="1" si="17"/>
        <v>Yes</v>
      </c>
      <c r="S150" s="528" t="s">
        <v>1611</v>
      </c>
      <c r="T150" s="529" t="str">
        <f t="shared" si="18"/>
        <v/>
      </c>
      <c r="U150" s="529" t="str">
        <f t="shared" si="19"/>
        <v/>
      </c>
      <c r="V150" s="529" t="str">
        <f t="shared" si="20"/>
        <v>X</v>
      </c>
      <c r="W150" s="529" t="str">
        <f t="shared" si="21"/>
        <v>X</v>
      </c>
      <c r="X150" s="529" t="str">
        <f t="shared" si="22"/>
        <v/>
      </c>
      <c r="Y150" s="529" t="str">
        <f t="shared" si="23"/>
        <v/>
      </c>
    </row>
    <row r="151" spans="1:25" ht="125.25" x14ac:dyDescent="0.2">
      <c r="A151" s="253" t="s">
        <v>960</v>
      </c>
      <c r="B151" s="253" t="s">
        <v>1595</v>
      </c>
      <c r="C151" s="253">
        <v>62</v>
      </c>
      <c r="D151" s="253" t="s">
        <v>1579</v>
      </c>
      <c r="E151" s="253" t="s">
        <v>1610</v>
      </c>
      <c r="F151" s="253" t="s">
        <v>1571</v>
      </c>
      <c r="G151" s="215" t="str" cm="1">
        <f t="array" aca="1" ref="G151" ca="1">IF(INDIRECT("'"&amp;B151&amp;"'!B"&amp;C151)=0,"",INDIRECT("'"&amp;B151&amp;"'!B"&amp;C151))</f>
        <v>x</v>
      </c>
      <c r="H151" s="215" t="str" cm="1">
        <f t="array" aca="1" ref="H151" ca="1">IF(INDIRECT("'"&amp;B151&amp;"'!C"&amp;C151)=0,"",INDIRECT("'"&amp;B151&amp;"'!C"&amp;C151))</f>
        <v>x</v>
      </c>
      <c r="I151" s="215" t="str" cm="1">
        <f t="array" aca="1" ref="I151" ca="1">IF(INDIRECT("'"&amp;B151&amp;"'!D"&amp;C151)=0,"",INDIRECT("'"&amp;B151&amp;"'!D"&amp;C151))</f>
        <v>x</v>
      </c>
      <c r="J151" s="215" t="str" cm="1">
        <f t="array" aca="1" ref="J151" ca="1">IF(INDIRECT("'"&amp;B151&amp;"'!E"&amp;C151)=0,"",INDIRECT("'"&amp;B151&amp;"'!E"&amp;C151))</f>
        <v/>
      </c>
      <c r="K151" s="253" cm="1">
        <f t="array" aca="1" ref="K151" ca="1">IF(INDIRECT("'"&amp;B151&amp;"'!F"&amp;C151)=0,"N/A",INDIRECT("'"&amp;B151&amp;"'!F"&amp;C151))</f>
        <v>8.6999999999999993</v>
      </c>
      <c r="L151" s="253" t="str" cm="1">
        <f t="array" aca="1" ref="L151" ca="1">IF(INDIRECT("'"&amp;B151&amp;"'!G"&amp;C151)=0,"N/A",INDIRECT("'"&amp;B151&amp;"'!G"&amp;C151))</f>
        <v>1(5)</v>
      </c>
      <c r="M151" s="253" t="str" cm="1">
        <f t="array" aca="1" ref="M151" ca="1">IF(INDIRECT("'"&amp;B151&amp;"'!H"&amp;C151)=0,"N/A",INDIRECT("'"&amp;B151&amp;"'!H"&amp;C151))</f>
        <v>8.7 #1(5)</v>
      </c>
      <c r="N151" s="221" t="str" cm="1">
        <f t="array" aca="1" ref="N151" ca="1">IF(INDIRECT("'"&amp;B151&amp;"'!I"&amp;C151)=0,"N/A",INDIRECT("'"&amp;B151&amp;"'!I"&amp;C151))</f>
        <v>[ผู้ประกอบธุรกิจทุกประเภท ยกเว้นผู้ประกอบธุรกิจขนาดเล็ก] มีการจัดเก็บข้อมูลบันทึกการทำธุรกรรม (transaction log) ควรมีระยะเวลาจัดเก็บขั้นต่ำ 1 ปี 
[สำหรับผู้ประกอบธุรกิจที่มีการใช้งานระบบ IT เพื่อการซื้อขายหลักทรัพย์ (trading system/order management system) เช่น บล. เป็นต้น] โดยในกรณีที่เป็นระบบ IT เพื่อการซื้อขายหลักทรัพย์ (trading system) ให้บันทึกบัญชีผู้ใช้งาน / ข้อมูลรายละเอียดชื่อย่อหลักทรัพย์ (securities symbol) / หมายเลขบริษัทสมาชิก (broker No. 4 หลัก : xxxx) / เลขที่คำสั่งซื้อขายหลักทรัพย์ (SET order ID) / เลขที่บัญชีซื้อขายหลักทรัพย์ (account ID) / วันและเวลาในการส่งคำสั่งซื้อขายหลักทรัพย์ (yyyy/mm/dd – hh:mm:ss:sss) / หมายเลข public และ local IP address ต้นทาง (source) / หมายเลข IP address ปลายทาง (destination) / ที่อยู่ของเว็บไซต์ปลายทาง (full URL) / terminal type (ถ้ามี) เช่น mobile, PC, iPad, iPhone เป็นต้น</v>
      </c>
      <c r="O151" s="533" t="str" cm="1">
        <f t="array" aca="1" ref="O151" ca="1">IF(INDIRECT("'"&amp;B151&amp;"'!N"&amp;C151)=0,"N/A",INDIRECT("'"&amp;B151&amp;"'!N"&amp;C151))</f>
        <v>Yes/Partial/No</v>
      </c>
      <c r="P151" s="527" t="str" cm="1">
        <f t="array" aca="1" ref="P151" ca="1">IF(INDIRECT("'"&amp;B151&amp;"'!L"&amp;C151)=0,"",INDIRECT("'"&amp;B151&amp;"'!L"&amp;C151))</f>
        <v/>
      </c>
      <c r="Q151" s="527" t="str">
        <f t="shared" ca="1" si="16"/>
        <v/>
      </c>
      <c r="R151" s="563" t="str">
        <f t="shared" ca="1" si="17"/>
        <v>Yes</v>
      </c>
      <c r="S151" s="528" t="s">
        <v>1608</v>
      </c>
      <c r="T151" s="529" t="str">
        <f t="shared" si="18"/>
        <v/>
      </c>
      <c r="U151" s="529" t="str">
        <f t="shared" si="19"/>
        <v/>
      </c>
      <c r="V151" s="529" t="str">
        <f t="shared" si="20"/>
        <v>X</v>
      </c>
      <c r="W151" s="529" t="str">
        <f t="shared" si="21"/>
        <v/>
      </c>
      <c r="X151" s="529" t="str">
        <f t="shared" si="22"/>
        <v/>
      </c>
      <c r="Y151" s="529" t="str">
        <f t="shared" si="23"/>
        <v/>
      </c>
    </row>
    <row r="152" spans="1:25" ht="174.05" customHeight="1" x14ac:dyDescent="0.2">
      <c r="A152" s="253" t="s">
        <v>964</v>
      </c>
      <c r="B152" s="253" t="s">
        <v>1595</v>
      </c>
      <c r="C152" s="253">
        <v>63</v>
      </c>
      <c r="D152" s="253" t="s">
        <v>1579</v>
      </c>
      <c r="E152" s="253" t="s">
        <v>1610</v>
      </c>
      <c r="F152" s="253" t="s">
        <v>1571</v>
      </c>
      <c r="G152" s="215" t="str" cm="1">
        <f t="array" aca="1" ref="G152" ca="1">IF(INDIRECT("'"&amp;B152&amp;"'!B"&amp;C152)=0,"",INDIRECT("'"&amp;B152&amp;"'!B"&amp;C152))</f>
        <v>x</v>
      </c>
      <c r="H152" s="215" t="str" cm="1">
        <f t="array" aca="1" ref="H152" ca="1">IF(INDIRECT("'"&amp;B152&amp;"'!C"&amp;C152)=0,"",INDIRECT("'"&amp;B152&amp;"'!C"&amp;C152))</f>
        <v>x</v>
      </c>
      <c r="I152" s="215" t="str" cm="1">
        <f t="array" aca="1" ref="I152" ca="1">IF(INDIRECT("'"&amp;B152&amp;"'!D"&amp;C152)=0,"",INDIRECT("'"&amp;B152&amp;"'!D"&amp;C152))</f>
        <v>x</v>
      </c>
      <c r="J152" s="215" t="str" cm="1">
        <f t="array" aca="1" ref="J152" ca="1">IF(INDIRECT("'"&amp;B152&amp;"'!E"&amp;C152)=0,"",INDIRECT("'"&amp;B152&amp;"'!E"&amp;C152))</f>
        <v/>
      </c>
      <c r="K152" s="253" t="str" cm="1">
        <f t="array" aca="1" ref="K152" ca="1">IF(INDIRECT("'"&amp;B152&amp;"'!F"&amp;C152)=0,"N/A",INDIRECT("'"&amp;B152&amp;"'!F"&amp;C152))</f>
        <v>8.7</v>
      </c>
      <c r="L152" s="253" t="str" cm="1">
        <f t="array" aca="1" ref="L152" ca="1">IF(INDIRECT("'"&amp;B152&amp;"'!G"&amp;C152)=0,"N/A",INDIRECT("'"&amp;B152&amp;"'!G"&amp;C152))</f>
        <v>1(5)</v>
      </c>
      <c r="M152" s="253" t="str" cm="1">
        <f t="array" aca="1" ref="M152" ca="1">IF(INDIRECT("'"&amp;B152&amp;"'!H"&amp;C152)=0,"N/A",INDIRECT("'"&amp;B152&amp;"'!H"&amp;C152))</f>
        <v>8.7 #1(5)</v>
      </c>
      <c r="N152" s="221" t="str" cm="1">
        <f t="array" aca="1" ref="N152" ca="1">IF(INDIRECT("'"&amp;B152&amp;"'!I"&amp;C152)=0,"N/A",INDIRECT("'"&amp;B152&amp;"'!I"&amp;C152))</f>
        <v>[สำหรับผู้ประกอบธุรกิจที่มีการใช้งานระบบ IT เพื่อการซื้อขายหลักทรัพย์ (trading system/order management system) เช่น บล. เป็นต้น] มีการจัดเก็บข้อมูลบันทึกการทำธุรกรรมเพิ่มเติม (additional transaction log) ในลักษณะที่พร้อมจัดทำและนำส่งต่อสำนักงานในรูปแบบที่สำนักงานกำหนดโดยไม่ชักช้าเมื่อสำนักงานร้องขอ เช่น การจัดเก็บไฟล์ในรูปแบบ excel, CSV หรืออื่น ๆ เป็นต้น ที่ทำให้ผู้ประกอบธุรกิจสามารถนำข้อมูลดังกล่าวจัดทำเป็นรายงานข้อมูลบันทึกธุรกรรมเพิ่มเติมต่อสำนักงานได้
โดยต้องมีการจัดเก็บข้อมูลดังต่อไปนี้ ในรูปแบบที่พร้อมสามารถนำมาจัดทำบันทึกการทำธุรกรรม (additional transaction log) ได้โดยไม่ชักช้าเมื่อสำนักงานร้องขอ
    (1)  บัญชีผู้ใช้งาน (user ID)
    (2)  เลขบัตรประจำตัวประชาชนหรือเลขทะเบียนนิติบุคคลของลูกค้า
    (3)  ชื่อ-นามสกุลของลูกค้า
    (4)  วันและเวลาที่จับคู่คำสั่งซื้อขายได้ (matched date : yyyy/mm/dd – hh:mm:ss:sss)
    (5)  กรณีส่งคำสั่งจากอุปกรณ์ของบริษัทหลักทรัพย์ ให้จัดเก็บข้อมูลที่สามารถระบุได้ว่า คำสั่งซื้อขายจัดส่งจากอุปกรณ์ใด และใครเป็นผู้ใช้งานอุปกรณ์ในขณะที่ส่งคำสั่งนั้น
[กรณีผู้ประกอบธุรกิจที่ไม่ได้มีการใช้งานระบบ IT เพื่อการซื้อขายหลักทรัพย์ (trading system/order management system)] ตอบ N/A</v>
      </c>
      <c r="O152" s="533" t="str" cm="1">
        <f t="array" aca="1" ref="O152" ca="1">IF(INDIRECT("'"&amp;B152&amp;"'!N"&amp;C152)=0,"N/A",INDIRECT("'"&amp;B152&amp;"'!N"&amp;C152))</f>
        <v>Yes/Partial/No</v>
      </c>
      <c r="P152" s="527" t="str" cm="1">
        <f t="array" aca="1" ref="P152" ca="1">IF(INDIRECT("'"&amp;B152&amp;"'!L"&amp;C152)=0,"",INDIRECT("'"&amp;B152&amp;"'!L"&amp;C152))</f>
        <v/>
      </c>
      <c r="Q152" s="527" t="str">
        <f t="shared" ca="1" si="16"/>
        <v/>
      </c>
      <c r="R152" s="563" t="str">
        <f t="shared" ca="1" si="17"/>
        <v>Yes</v>
      </c>
      <c r="S152" s="532" t="s">
        <v>1608</v>
      </c>
      <c r="T152" s="529" t="str">
        <f t="shared" si="18"/>
        <v/>
      </c>
      <c r="U152" s="529" t="str">
        <f t="shared" si="19"/>
        <v/>
      </c>
      <c r="V152" s="533" t="str">
        <f t="shared" si="20"/>
        <v>X</v>
      </c>
      <c r="W152" s="529" t="str">
        <f t="shared" si="21"/>
        <v/>
      </c>
      <c r="X152" s="529" t="str">
        <f t="shared" si="22"/>
        <v/>
      </c>
      <c r="Y152" s="529" t="str">
        <f t="shared" si="23"/>
        <v/>
      </c>
    </row>
    <row r="153" spans="1:25" ht="100.2" x14ac:dyDescent="0.2">
      <c r="A153" s="253" t="s">
        <v>968</v>
      </c>
      <c r="B153" s="253" t="s">
        <v>1595</v>
      </c>
      <c r="C153" s="253">
        <v>64</v>
      </c>
      <c r="D153" s="253" t="s">
        <v>1579</v>
      </c>
      <c r="E153" s="253" t="s">
        <v>1610</v>
      </c>
      <c r="F153" s="253" t="s">
        <v>1571</v>
      </c>
      <c r="G153" s="215" t="str" cm="1">
        <f t="array" aca="1" ref="G153" ca="1">IF(INDIRECT("'"&amp;B153&amp;"'!B"&amp;C153)=0,"",INDIRECT("'"&amp;B153&amp;"'!B"&amp;C153))</f>
        <v>x</v>
      </c>
      <c r="H153" s="215" t="str" cm="1">
        <f t="array" aca="1" ref="H153" ca="1">IF(INDIRECT("'"&amp;B153&amp;"'!C"&amp;C153)=0,"",INDIRECT("'"&amp;B153&amp;"'!C"&amp;C153))</f>
        <v>x</v>
      </c>
      <c r="I153" s="215" t="str" cm="1">
        <f t="array" aca="1" ref="I153" ca="1">IF(INDIRECT("'"&amp;B153&amp;"'!D"&amp;C153)=0,"",INDIRECT("'"&amp;B153&amp;"'!D"&amp;C153))</f>
        <v>x</v>
      </c>
      <c r="J153" s="215" t="str" cm="1">
        <f t="array" aca="1" ref="J153" ca="1">IF(INDIRECT("'"&amp;B153&amp;"'!E"&amp;C153)=0,"",INDIRECT("'"&amp;B153&amp;"'!E"&amp;C153))</f>
        <v/>
      </c>
      <c r="K153" s="253" cm="1">
        <f t="array" aca="1" ref="K153" ca="1">IF(INDIRECT("'"&amp;B153&amp;"'!F"&amp;C153)=0,"N/A",INDIRECT("'"&amp;B153&amp;"'!F"&amp;C153))</f>
        <v>8.6999999999999993</v>
      </c>
      <c r="L153" s="253" cm="1">
        <f t="array" aca="1" ref="L153" ca="1">IF(INDIRECT("'"&amp;B153&amp;"'!G"&amp;C153)=0,"N/A",INDIRECT("'"&amp;B153&amp;"'!G"&amp;C153))</f>
        <v>2</v>
      </c>
      <c r="M153" s="253" t="str" cm="1">
        <f t="array" aca="1" ref="M153" ca="1">IF(INDIRECT("'"&amp;B153&amp;"'!H"&amp;C153)=0,"N/A",INDIRECT("'"&amp;B153&amp;"'!H"&amp;C153))</f>
        <v>8.7 #2</v>
      </c>
      <c r="N153" s="221" t="str" cm="1">
        <f t="array" aca="1" ref="N153" ca="1">IF(INDIRECT("'"&amp;B153&amp;"'!I"&amp;C153)=0,"N/A",INDIRECT("'"&amp;B153&amp;"'!I"&amp;C153))</f>
        <v>มีการใช้ระบบในการควบคุมค่าเวลาของเครื่องแม่ข่าย ระบบงาน และอุปกรณ์เครือข่ายให้ตรงกับเครื่องแม่ข่าย network time protocol : NTP (clock synchronization) เพื่อให้ค่าเวลาในการบันทึกเหตุการณ์มีความถูกต้องในลักษณะ real-time ซึ่งเครื่อง NTP ควรรับสัญญาณให้ตรงกับสัญญาณนาฬิกาจากแหล่งที่มีความน่าเชื่อถือ (เช่น Stratum 1 จากสถาบันมาตรวิทยาแห่งชาติ และกรมอุทกศาสตร์ กองทัพเรือ เป็นต้น)
ทั้งนี้ ในกรณีผู้ประกอบธุรกิจที่เป็นสมาชิกของตลาดหลักทรัพย์ ควรกำหนดระบบเวลาของอุปกรณ์และระบบ IT ที่เกี่ยวกับการซื้อขายหลักทรัพย์และการชำระราคาให้ตรงกับเวลาอ้างอิงของระบบซื้อขายหลักทรัพย์ของตลาดหลักทรัพย์ เพื่อให้การตรวจสอบธุรกรรมที่ไม่เหมาะสมทั้งหมดเป็นไปอย่างถูกต้องและมีประสิทธิภาพ</v>
      </c>
      <c r="O153" s="533" t="str" cm="1">
        <f t="array" aca="1" ref="O153" ca="1">IF(INDIRECT("'"&amp;B153&amp;"'!N"&amp;C153)=0,"N/A",INDIRECT("'"&amp;B153&amp;"'!N"&amp;C153))</f>
        <v>Yes/Partial/No</v>
      </c>
      <c r="P153" s="527" t="str" cm="1">
        <f t="array" aca="1" ref="P153" ca="1">IF(INDIRECT("'"&amp;B153&amp;"'!L"&amp;C153)=0,"",INDIRECT("'"&amp;B153&amp;"'!L"&amp;C153))</f>
        <v/>
      </c>
      <c r="Q153" s="527" t="str">
        <f t="shared" ca="1" si="16"/>
        <v/>
      </c>
      <c r="R153" s="563" t="str">
        <f t="shared" ca="1" si="17"/>
        <v>Yes</v>
      </c>
      <c r="S153" s="528" t="s">
        <v>1608</v>
      </c>
      <c r="T153" s="529" t="str">
        <f t="shared" si="18"/>
        <v/>
      </c>
      <c r="U153" s="529" t="str">
        <f t="shared" si="19"/>
        <v/>
      </c>
      <c r="V153" s="529" t="str">
        <f t="shared" si="20"/>
        <v>X</v>
      </c>
      <c r="W153" s="529" t="str">
        <f t="shared" si="21"/>
        <v/>
      </c>
      <c r="X153" s="529" t="str">
        <f t="shared" si="22"/>
        <v/>
      </c>
      <c r="Y153" s="529" t="str">
        <f t="shared" si="23"/>
        <v/>
      </c>
    </row>
    <row r="154" spans="1:25" ht="50.1" x14ac:dyDescent="0.2">
      <c r="A154" s="253" t="s">
        <v>972</v>
      </c>
      <c r="B154" s="253" t="s">
        <v>1595</v>
      </c>
      <c r="C154" s="253">
        <v>65</v>
      </c>
      <c r="D154" s="253" t="s">
        <v>1579</v>
      </c>
      <c r="E154" s="253" t="s">
        <v>1610</v>
      </c>
      <c r="F154" s="253" t="s">
        <v>1571</v>
      </c>
      <c r="G154" s="215" t="str" cm="1">
        <f t="array" aca="1" ref="G154" ca="1">IF(INDIRECT("'"&amp;B154&amp;"'!B"&amp;C154)=0,"",INDIRECT("'"&amp;B154&amp;"'!B"&amp;C154))</f>
        <v>x</v>
      </c>
      <c r="H154" s="215" t="str" cm="1">
        <f t="array" aca="1" ref="H154" ca="1">IF(INDIRECT("'"&amp;B154&amp;"'!C"&amp;C154)=0,"",INDIRECT("'"&amp;B154&amp;"'!C"&amp;C154))</f>
        <v>x</v>
      </c>
      <c r="I154" s="215" t="str" cm="1">
        <f t="array" aca="1" ref="I154" ca="1">IF(INDIRECT("'"&amp;B154&amp;"'!D"&amp;C154)=0,"",INDIRECT("'"&amp;B154&amp;"'!D"&amp;C154))</f>
        <v>x</v>
      </c>
      <c r="J154" s="215" t="str" cm="1">
        <f t="array" aca="1" ref="J154" ca="1">IF(INDIRECT("'"&amp;B154&amp;"'!E"&amp;C154)=0,"",INDIRECT("'"&amp;B154&amp;"'!E"&amp;C154))</f>
        <v/>
      </c>
      <c r="K154" s="253" cm="1">
        <f t="array" aca="1" ref="K154" ca="1">IF(INDIRECT("'"&amp;B154&amp;"'!F"&amp;C154)=0,"N/A",INDIRECT("'"&amp;B154&amp;"'!F"&amp;C154))</f>
        <v>8.6999999999999993</v>
      </c>
      <c r="L154" s="253" cm="1">
        <f t="array" aca="1" ref="L154" ca="1">IF(INDIRECT("'"&amp;B154&amp;"'!G"&amp;C154)=0,"N/A",INDIRECT("'"&amp;B154&amp;"'!G"&amp;C154))</f>
        <v>3</v>
      </c>
      <c r="M154" s="253" t="str" cm="1">
        <f t="array" aca="1" ref="M154" ca="1">IF(INDIRECT("'"&amp;B154&amp;"'!H"&amp;C154)=0,"N/A",INDIRECT("'"&amp;B154&amp;"'!H"&amp;C154))</f>
        <v>8.7 #3</v>
      </c>
      <c r="N154" s="221" t="str" cm="1">
        <f t="array" aca="1" ref="N154" ca="1">IF(INDIRECT("'"&amp;B154&amp;"'!I"&amp;C154)=0,"N/A",INDIRECT("'"&amp;B154&amp;"'!I"&amp;C154))</f>
        <v>มีการจัดเก็บ log ที่เกี่ยวข้องกับข้อมูลส่วนบุคคล เพื่อใช้ตรวจสอบกิจกรรมของผู้ใช้งานและใช้เป็นหลักฐานหากเกิดเหตุการณ์ การเข้าถึง ใช้งาน แก้ไขเปลี่ยนแปลง หรือเปิดเผยข้อมูลส่วนบุคคลที่ไม่เหมาะสม โดยสอดคล้องกับกฎหมายและหลักเกณฑ์ที่เกี่ยวข้อง เช่น กฎหมายว่าด้วยการกระทำความผิดเกี่ยวกับคอมพิวเตอร์ และกฎหมายว่าด้วยการคุ้มครองข้อมูลส่วนบุคคล เป็นต้น</v>
      </c>
      <c r="O154" s="533" t="str" cm="1">
        <f t="array" aca="1" ref="O154" ca="1">IF(INDIRECT("'"&amp;B154&amp;"'!N"&amp;C154)=0,"N/A",INDIRECT("'"&amp;B154&amp;"'!N"&amp;C154))</f>
        <v>Yes/Partial/No</v>
      </c>
      <c r="P154" s="527" t="str" cm="1">
        <f t="array" aca="1" ref="P154" ca="1">IF(INDIRECT("'"&amp;B154&amp;"'!L"&amp;C154)=0,"",INDIRECT("'"&amp;B154&amp;"'!L"&amp;C154))</f>
        <v/>
      </c>
      <c r="Q154" s="527" t="str">
        <f t="shared" ca="1" si="16"/>
        <v/>
      </c>
      <c r="R154" s="563" t="str">
        <f t="shared" ca="1" si="17"/>
        <v>Yes</v>
      </c>
      <c r="S154" s="528" t="s">
        <v>1608</v>
      </c>
      <c r="T154" s="529" t="str">
        <f t="shared" si="18"/>
        <v/>
      </c>
      <c r="U154" s="529" t="str">
        <f t="shared" si="19"/>
        <v/>
      </c>
      <c r="V154" s="529" t="str">
        <f t="shared" si="20"/>
        <v>X</v>
      </c>
      <c r="W154" s="529" t="str">
        <f t="shared" si="21"/>
        <v/>
      </c>
      <c r="X154" s="529" t="str">
        <f t="shared" si="22"/>
        <v/>
      </c>
      <c r="Y154" s="529" t="str">
        <f t="shared" si="23"/>
        <v/>
      </c>
    </row>
    <row r="155" spans="1:25" ht="37.6" x14ac:dyDescent="0.2">
      <c r="A155" s="253" t="s">
        <v>976</v>
      </c>
      <c r="B155" s="253" t="s">
        <v>1595</v>
      </c>
      <c r="C155" s="253">
        <v>66</v>
      </c>
      <c r="D155" s="253" t="s">
        <v>1579</v>
      </c>
      <c r="E155" s="253" t="s">
        <v>1610</v>
      </c>
      <c r="F155" s="253" t="s">
        <v>1571</v>
      </c>
      <c r="G155" s="215" t="str" cm="1">
        <f t="array" aca="1" ref="G155" ca="1">IF(INDIRECT("'"&amp;B155&amp;"'!B"&amp;C155)=0,"",INDIRECT("'"&amp;B155&amp;"'!B"&amp;C155))</f>
        <v>x</v>
      </c>
      <c r="H155" s="215" t="str" cm="1">
        <f t="array" aca="1" ref="H155" ca="1">IF(INDIRECT("'"&amp;B155&amp;"'!C"&amp;C155)=0,"",INDIRECT("'"&amp;B155&amp;"'!C"&amp;C155))</f>
        <v>x</v>
      </c>
      <c r="I155" s="215" t="str" cm="1">
        <f t="array" aca="1" ref="I155" ca="1">IF(INDIRECT("'"&amp;B155&amp;"'!D"&amp;C155)=0,"",INDIRECT("'"&amp;B155&amp;"'!D"&amp;C155))</f>
        <v>x</v>
      </c>
      <c r="J155" s="215" t="str" cm="1">
        <f t="array" aca="1" ref="J155" ca="1">IF(INDIRECT("'"&amp;B155&amp;"'!E"&amp;C155)=0,"",INDIRECT("'"&amp;B155&amp;"'!E"&amp;C155))</f>
        <v/>
      </c>
      <c r="K155" s="253" cm="1">
        <f t="array" aca="1" ref="K155" ca="1">IF(INDIRECT("'"&amp;B155&amp;"'!F"&amp;C155)=0,"N/A",INDIRECT("'"&amp;B155&amp;"'!F"&amp;C155))</f>
        <v>8.6999999999999993</v>
      </c>
      <c r="L155" s="253" cm="1">
        <f t="array" aca="1" ref="L155" ca="1">IF(INDIRECT("'"&amp;B155&amp;"'!G"&amp;C155)=0,"N/A",INDIRECT("'"&amp;B155&amp;"'!G"&amp;C155))</f>
        <v>4</v>
      </c>
      <c r="M155" s="253" t="str" cm="1">
        <f t="array" aca="1" ref="M155" ca="1">IF(INDIRECT("'"&amp;B155&amp;"'!H"&amp;C155)=0,"N/A",INDIRECT("'"&amp;B155&amp;"'!H"&amp;C155))</f>
        <v>8.7 #4</v>
      </c>
      <c r="N155" s="221" t="str" cm="1">
        <f t="array" aca="1" ref="N155" ca="1">IF(INDIRECT("'"&amp;B155&amp;"'!I"&amp;C155)=0,"N/A",INDIRECT("'"&amp;B155&amp;"'!I"&amp;C155))</f>
        <v>มีการจัดเก็บ log ของอุปกรณ์สำคัญไว้ที่เครื่องแม่ข่ายที่ใช้จัดเก็บ log (logging server) ที่แยกเฉพาะ หรือใช้วิธีการที่เทียบเคียงซึ่งสามารถป้องกันการเปลี่ยนแปลง แก้ไข หรือทำลาย log ได้ และมีการกำหนดหน้าที่และความรับผิดชอบของผู้มีสิทธิเข้าถึง log ตามความจำเป็น</v>
      </c>
      <c r="O155" s="533" t="str" cm="1">
        <f t="array" aca="1" ref="O155" ca="1">IF(INDIRECT("'"&amp;B155&amp;"'!N"&amp;C155)=0,"N/A",INDIRECT("'"&amp;B155&amp;"'!N"&amp;C155))</f>
        <v>Yes/Partial/No</v>
      </c>
      <c r="P155" s="527" t="str" cm="1">
        <f t="array" aca="1" ref="P155" ca="1">IF(INDIRECT("'"&amp;B155&amp;"'!L"&amp;C155)=0,"",INDIRECT("'"&amp;B155&amp;"'!L"&amp;C155))</f>
        <v/>
      </c>
      <c r="Q155" s="527" t="str">
        <f t="shared" ca="1" si="16"/>
        <v/>
      </c>
      <c r="R155" s="563" t="str">
        <f t="shared" ca="1" si="17"/>
        <v>Yes</v>
      </c>
      <c r="S155" s="528" t="s">
        <v>1608</v>
      </c>
      <c r="T155" s="529" t="str">
        <f t="shared" si="18"/>
        <v/>
      </c>
      <c r="U155" s="529" t="str">
        <f t="shared" si="19"/>
        <v/>
      </c>
      <c r="V155" s="529" t="str">
        <f t="shared" si="20"/>
        <v>X</v>
      </c>
      <c r="W155" s="529" t="str">
        <f t="shared" si="21"/>
        <v/>
      </c>
      <c r="X155" s="529" t="str">
        <f t="shared" si="22"/>
        <v/>
      </c>
      <c r="Y155" s="529" t="str">
        <f t="shared" si="23"/>
        <v/>
      </c>
    </row>
    <row r="156" spans="1:25" x14ac:dyDescent="0.2">
      <c r="A156" s="253" t="s">
        <v>980</v>
      </c>
      <c r="B156" s="253" t="s">
        <v>1595</v>
      </c>
      <c r="C156" s="253">
        <v>67</v>
      </c>
      <c r="D156" s="253" t="s">
        <v>1579</v>
      </c>
      <c r="E156" s="253" t="s">
        <v>1610</v>
      </c>
      <c r="F156" s="253" t="s">
        <v>1571</v>
      </c>
      <c r="G156" s="215" t="str" cm="1">
        <f t="array" aca="1" ref="G156" ca="1">IF(INDIRECT("'"&amp;B156&amp;"'!B"&amp;C156)=0,"",INDIRECT("'"&amp;B156&amp;"'!B"&amp;C156))</f>
        <v>x</v>
      </c>
      <c r="H156" s="215" t="str" cm="1">
        <f t="array" aca="1" ref="H156" ca="1">IF(INDIRECT("'"&amp;B156&amp;"'!C"&amp;C156)=0,"",INDIRECT("'"&amp;B156&amp;"'!C"&amp;C156))</f>
        <v>x</v>
      </c>
      <c r="I156" s="215" t="str" cm="1">
        <f t="array" aca="1" ref="I156" ca="1">IF(INDIRECT("'"&amp;B156&amp;"'!D"&amp;C156)=0,"",INDIRECT("'"&amp;B156&amp;"'!D"&amp;C156))</f>
        <v>x</v>
      </c>
      <c r="J156" s="215" t="str" cm="1">
        <f t="array" aca="1" ref="J156" ca="1">IF(INDIRECT("'"&amp;B156&amp;"'!E"&amp;C156)=0,"",INDIRECT("'"&amp;B156&amp;"'!E"&amp;C156))</f>
        <v/>
      </c>
      <c r="K156" s="253" cm="1">
        <f t="array" aca="1" ref="K156" ca="1">IF(INDIRECT("'"&amp;B156&amp;"'!F"&amp;C156)=0,"N/A",INDIRECT("'"&amp;B156&amp;"'!F"&amp;C156))</f>
        <v>8.6999999999999993</v>
      </c>
      <c r="L156" s="253" cm="1">
        <f t="array" aca="1" ref="L156" ca="1">IF(INDIRECT("'"&amp;B156&amp;"'!G"&amp;C156)=0,"N/A",INDIRECT("'"&amp;B156&amp;"'!G"&amp;C156))</f>
        <v>4</v>
      </c>
      <c r="M156" s="253" t="str" cm="1">
        <f t="array" aca="1" ref="M156" ca="1">IF(INDIRECT("'"&amp;B156&amp;"'!H"&amp;C156)=0,"N/A",INDIRECT("'"&amp;B156&amp;"'!H"&amp;C156))</f>
        <v>8.7 #4</v>
      </c>
      <c r="N156" s="221" t="str" cm="1">
        <f t="array" aca="1" ref="N156" ca="1">IF(INDIRECT("'"&amp;B156&amp;"'!I"&amp;C156)=0,"N/A",INDIRECT("'"&amp;B156&amp;"'!I"&amp;C156))</f>
        <v>มีกระบวนการยืนยันตัวตนและตรวจสอบสิทธิในการเข้าถึง log ที่เข้มงวด</v>
      </c>
      <c r="O156" s="533" t="str" cm="1">
        <f t="array" aca="1" ref="O156" ca="1">IF(INDIRECT("'"&amp;B156&amp;"'!N"&amp;C156)=0,"N/A",INDIRECT("'"&amp;B156&amp;"'!N"&amp;C156))</f>
        <v>Yes/Partial/No</v>
      </c>
      <c r="P156" s="527" t="str" cm="1">
        <f t="array" aca="1" ref="P156" ca="1">IF(INDIRECT("'"&amp;B156&amp;"'!L"&amp;C156)=0,"",INDIRECT("'"&amp;B156&amp;"'!L"&amp;C156))</f>
        <v/>
      </c>
      <c r="Q156" s="527" t="str">
        <f t="shared" ca="1" si="16"/>
        <v/>
      </c>
      <c r="R156" s="563" t="str">
        <f t="shared" ca="1" si="17"/>
        <v>Yes</v>
      </c>
      <c r="S156" s="528" t="s">
        <v>1608</v>
      </c>
      <c r="T156" s="529" t="str">
        <f t="shared" si="18"/>
        <v/>
      </c>
      <c r="U156" s="529" t="str">
        <f t="shared" si="19"/>
        <v/>
      </c>
      <c r="V156" s="529" t="str">
        <f t="shared" si="20"/>
        <v>X</v>
      </c>
      <c r="W156" s="529" t="str">
        <f t="shared" si="21"/>
        <v/>
      </c>
      <c r="X156" s="529" t="str">
        <f t="shared" si="22"/>
        <v/>
      </c>
      <c r="Y156" s="529" t="str">
        <f t="shared" si="23"/>
        <v/>
      </c>
    </row>
    <row r="157" spans="1:25" x14ac:dyDescent="0.2">
      <c r="A157" s="253" t="s">
        <v>983</v>
      </c>
      <c r="B157" s="253" t="s">
        <v>1595</v>
      </c>
      <c r="C157" s="253">
        <v>68</v>
      </c>
      <c r="D157" s="253" t="s">
        <v>1579</v>
      </c>
      <c r="E157" s="253" t="s">
        <v>1610</v>
      </c>
      <c r="F157" s="253" t="s">
        <v>1571</v>
      </c>
      <c r="G157" s="215" t="str" cm="1">
        <f t="array" aca="1" ref="G157" ca="1">IF(INDIRECT("'"&amp;B157&amp;"'!B"&amp;C157)=0,"",INDIRECT("'"&amp;B157&amp;"'!B"&amp;C157))</f>
        <v>x</v>
      </c>
      <c r="H157" s="215" t="str" cm="1">
        <f t="array" aca="1" ref="H157" ca="1">IF(INDIRECT("'"&amp;B157&amp;"'!C"&amp;C157)=0,"",INDIRECT("'"&amp;B157&amp;"'!C"&amp;C157))</f>
        <v>x</v>
      </c>
      <c r="I157" s="215" t="str" cm="1">
        <f t="array" aca="1" ref="I157" ca="1">IF(INDIRECT("'"&amp;B157&amp;"'!D"&amp;C157)=0,"",INDIRECT("'"&amp;B157&amp;"'!D"&amp;C157))</f>
        <v>x</v>
      </c>
      <c r="J157" s="215" t="str" cm="1">
        <f t="array" aca="1" ref="J157" ca="1">IF(INDIRECT("'"&amp;B157&amp;"'!E"&amp;C157)=0,"",INDIRECT("'"&amp;B157&amp;"'!E"&amp;C157))</f>
        <v/>
      </c>
      <c r="K157" s="253" cm="1">
        <f t="array" aca="1" ref="K157" ca="1">IF(INDIRECT("'"&amp;B157&amp;"'!F"&amp;C157)=0,"N/A",INDIRECT("'"&amp;B157&amp;"'!F"&amp;C157))</f>
        <v>8.6999999999999993</v>
      </c>
      <c r="L157" s="253" cm="1">
        <f t="array" aca="1" ref="L157" ca="1">IF(INDIRECT("'"&amp;B157&amp;"'!G"&amp;C157)=0,"N/A",INDIRECT("'"&amp;B157&amp;"'!G"&amp;C157))</f>
        <v>4</v>
      </c>
      <c r="M157" s="253" t="str" cm="1">
        <f t="array" aca="1" ref="M157" ca="1">IF(INDIRECT("'"&amp;B157&amp;"'!H"&amp;C157)=0,"N/A",INDIRECT("'"&amp;B157&amp;"'!H"&amp;C157))</f>
        <v>8.7 #4</v>
      </c>
      <c r="N157" s="221" t="str" cm="1">
        <f t="array" aca="1" ref="N157" ca="1">IF(INDIRECT("'"&amp;B157&amp;"'!I"&amp;C157)=0,"N/A",INDIRECT("'"&amp;B157&amp;"'!I"&amp;C157))</f>
        <v>ติดตั้งเครื่องแม่ข่าย หรืออุปกรณ์ที่ใช้จัดเก็บ log ให้อยู่ในโซนเครือข่ายที่มีความมั่นคงปลอดภัย</v>
      </c>
      <c r="O157" s="533" t="str" cm="1">
        <f t="array" aca="1" ref="O157" ca="1">IF(INDIRECT("'"&amp;B157&amp;"'!N"&amp;C157)=0,"N/A",INDIRECT("'"&amp;B157&amp;"'!N"&amp;C157))</f>
        <v>Yes/Partial/No</v>
      </c>
      <c r="P157" s="527" t="str" cm="1">
        <f t="array" aca="1" ref="P157" ca="1">IF(INDIRECT("'"&amp;B157&amp;"'!L"&amp;C157)=0,"",INDIRECT("'"&amp;B157&amp;"'!L"&amp;C157))</f>
        <v/>
      </c>
      <c r="Q157" s="527" t="str">
        <f t="shared" ca="1" si="16"/>
        <v/>
      </c>
      <c r="R157" s="563" t="str">
        <f t="shared" ca="1" si="17"/>
        <v>Yes</v>
      </c>
      <c r="S157" s="528" t="s">
        <v>1608</v>
      </c>
      <c r="T157" s="529" t="str">
        <f t="shared" si="18"/>
        <v/>
      </c>
      <c r="U157" s="529" t="str">
        <f t="shared" si="19"/>
        <v/>
      </c>
      <c r="V157" s="529" t="str">
        <f t="shared" si="20"/>
        <v>X</v>
      </c>
      <c r="W157" s="529" t="str">
        <f t="shared" si="21"/>
        <v/>
      </c>
      <c r="X157" s="529" t="str">
        <f t="shared" si="22"/>
        <v/>
      </c>
      <c r="Y157" s="529" t="str">
        <f t="shared" si="23"/>
        <v/>
      </c>
    </row>
    <row r="158" spans="1:25" ht="37.6" x14ac:dyDescent="0.2">
      <c r="A158" s="253" t="s">
        <v>987</v>
      </c>
      <c r="B158" s="253" t="s">
        <v>1595</v>
      </c>
      <c r="C158" s="253">
        <v>70</v>
      </c>
      <c r="D158" s="253" t="s">
        <v>1579</v>
      </c>
      <c r="E158" s="253" t="s">
        <v>1612</v>
      </c>
      <c r="F158" s="253" t="s">
        <v>1571</v>
      </c>
      <c r="G158" s="215" t="str" cm="1">
        <f t="array" aca="1" ref="G158" ca="1">IF(INDIRECT("'"&amp;B158&amp;"'!B"&amp;C158)=0,"",INDIRECT("'"&amp;B158&amp;"'!B"&amp;C158))</f>
        <v>x</v>
      </c>
      <c r="H158" s="215" t="str" cm="1">
        <f t="array" aca="1" ref="H158" ca="1">IF(INDIRECT("'"&amp;B158&amp;"'!C"&amp;C158)=0,"",INDIRECT("'"&amp;B158&amp;"'!C"&amp;C158))</f>
        <v>x</v>
      </c>
      <c r="I158" s="215" t="str" cm="1">
        <f t="array" aca="1" ref="I158" ca="1">IF(INDIRECT("'"&amp;B158&amp;"'!D"&amp;C158)=0,"",INDIRECT("'"&amp;B158&amp;"'!D"&amp;C158))</f>
        <v>x</v>
      </c>
      <c r="J158" s="215" t="str" cm="1">
        <f t="array" aca="1" ref="J158" ca="1">IF(INDIRECT("'"&amp;B158&amp;"'!E"&amp;C158)=0,"",INDIRECT("'"&amp;B158&amp;"'!E"&amp;C158))</f>
        <v/>
      </c>
      <c r="K158" s="253" cm="1">
        <f t="array" aca="1" ref="K158" ca="1">IF(INDIRECT("'"&amp;B158&amp;"'!F"&amp;C158)=0,"N/A",INDIRECT("'"&amp;B158&amp;"'!F"&amp;C158))</f>
        <v>8.8000000000000007</v>
      </c>
      <c r="L158" s="253" cm="1">
        <f t="array" aca="1" ref="L158" ca="1">IF(INDIRECT("'"&amp;B158&amp;"'!G"&amp;C158)=0,"N/A",INDIRECT("'"&amp;B158&amp;"'!G"&amp;C158))</f>
        <v>1</v>
      </c>
      <c r="M158" s="253" t="str" cm="1">
        <f t="array" aca="1" ref="M158" ca="1">IF(INDIRECT("'"&amp;B158&amp;"'!H"&amp;C158)=0,"N/A",INDIRECT("'"&amp;B158&amp;"'!H"&amp;C158))</f>
        <v>8.8 #1</v>
      </c>
      <c r="N158" s="221" t="str" cm="1">
        <f t="array" aca="1" ref="N158" ca="1">IF(INDIRECT("'"&amp;B158&amp;"'!I"&amp;C158)=0,"N/A",INDIRECT("'"&amp;B158&amp;"'!I"&amp;C158))</f>
        <v>มีกระบวนการหรือเครื่องมือในการตรวจจับเหตุการณ์ผิดปกติที่อาจส่งผลกระทบต่อความปลอดภัยของระบบ IT ที่มีนัยสำคัญอย่างทันท่วงที เช่น กระบวนการหรือเครื่องมือในการสอบทาน log เป็นต้น เพื่อให้รับทราบความผิดปกติหรือภัยคุกคาม และสามารถดำเนินการป้องกันหรือรับมือได้อย่างเหมาะสม</v>
      </c>
      <c r="O158" s="533" t="str" cm="1">
        <f t="array" aca="1" ref="O158" ca="1">IF(INDIRECT("'"&amp;B158&amp;"'!N"&amp;C158)=0,"N/A",INDIRECT("'"&amp;B158&amp;"'!N"&amp;C158))</f>
        <v>Yes/Partial/No</v>
      </c>
      <c r="P158" s="527" t="str" cm="1">
        <f t="array" aca="1" ref="P158" ca="1">IF(INDIRECT("'"&amp;B158&amp;"'!L"&amp;C158)=0,"",INDIRECT("'"&amp;B158&amp;"'!L"&amp;C158))</f>
        <v/>
      </c>
      <c r="Q158" s="527" t="str">
        <f t="shared" ca="1" si="16"/>
        <v/>
      </c>
      <c r="R158" s="563" t="str">
        <f t="shared" ca="1" si="17"/>
        <v>Yes</v>
      </c>
      <c r="S158" s="528" t="s">
        <v>1613</v>
      </c>
      <c r="T158" s="529" t="str">
        <f t="shared" si="18"/>
        <v/>
      </c>
      <c r="U158" s="529" t="str">
        <f t="shared" si="19"/>
        <v/>
      </c>
      <c r="V158" s="529" t="str">
        <f t="shared" si="20"/>
        <v/>
      </c>
      <c r="W158" s="529" t="str">
        <f t="shared" si="21"/>
        <v>X</v>
      </c>
      <c r="X158" s="529" t="str">
        <f t="shared" si="22"/>
        <v/>
      </c>
      <c r="Y158" s="529" t="str">
        <f t="shared" si="23"/>
        <v/>
      </c>
    </row>
    <row r="159" spans="1:25" ht="37.6" x14ac:dyDescent="0.2">
      <c r="A159" s="253" t="s">
        <v>991</v>
      </c>
      <c r="B159" s="253" t="s">
        <v>1595</v>
      </c>
      <c r="C159" s="253">
        <v>71</v>
      </c>
      <c r="D159" s="253" t="s">
        <v>1579</v>
      </c>
      <c r="E159" s="253" t="s">
        <v>1612</v>
      </c>
      <c r="F159" s="253" t="s">
        <v>1571</v>
      </c>
      <c r="G159" s="215" t="str" cm="1">
        <f t="array" aca="1" ref="G159" ca="1">IF(INDIRECT("'"&amp;B159&amp;"'!B"&amp;C159)=0,"",INDIRECT("'"&amp;B159&amp;"'!B"&amp;C159))</f>
        <v>x</v>
      </c>
      <c r="H159" s="215" t="str" cm="1">
        <f t="array" aca="1" ref="H159" ca="1">IF(INDIRECT("'"&amp;B159&amp;"'!C"&amp;C159)=0,"",INDIRECT("'"&amp;B159&amp;"'!C"&amp;C159))</f>
        <v>x</v>
      </c>
      <c r="I159" s="215" t="str" cm="1">
        <f t="array" aca="1" ref="I159" ca="1">IF(INDIRECT("'"&amp;B159&amp;"'!D"&amp;C159)=0,"",INDIRECT("'"&amp;B159&amp;"'!D"&amp;C159))</f>
        <v>x</v>
      </c>
      <c r="J159" s="215" t="str" cm="1">
        <f t="array" aca="1" ref="J159" ca="1">IF(INDIRECT("'"&amp;B159&amp;"'!E"&amp;C159)=0,"",INDIRECT("'"&amp;B159&amp;"'!E"&amp;C159))</f>
        <v/>
      </c>
      <c r="K159" s="253" cm="1">
        <f t="array" aca="1" ref="K159" ca="1">IF(INDIRECT("'"&amp;B159&amp;"'!F"&amp;C159)=0,"N/A",INDIRECT("'"&amp;B159&amp;"'!F"&amp;C159))</f>
        <v>8.8000000000000007</v>
      </c>
      <c r="L159" s="253" cm="1">
        <f t="array" aca="1" ref="L159" ca="1">IF(INDIRECT("'"&amp;B159&amp;"'!G"&amp;C159)=0,"N/A",INDIRECT("'"&amp;B159&amp;"'!G"&amp;C159))</f>
        <v>2</v>
      </c>
      <c r="M159" s="253" t="str" cm="1">
        <f t="array" aca="1" ref="M159" ca="1">IF(INDIRECT("'"&amp;B159&amp;"'!H"&amp;C159)=0,"N/A",INDIRECT("'"&amp;B159&amp;"'!H"&amp;C159))</f>
        <v>8.8 #2</v>
      </c>
      <c r="N159" s="221" t="str" cm="1">
        <f t="array" aca="1" ref="N159" ca="1">IF(INDIRECT("'"&amp;B159&amp;"'!I"&amp;C159)=0,"N/A",INDIRECT("'"&amp;B159&amp;"'!I"&amp;C159))</f>
        <v>มีกระบวนการหรือเครื่องมือในการรับข้อมูลข่าวสารเกี่ยวกับภัยคุกคาม (cyber threat intelligence) เพื่อให้สามารถติดตามและวิเคราะห์ภัยคุกคามทางไซเบอร์ที่อาจเกิดขึ้น และสามารถดำเนินการป้องกันหรือรับมือได้อย่างเหมาะสม</v>
      </c>
      <c r="O159" s="533" t="str" cm="1">
        <f t="array" aca="1" ref="O159" ca="1">IF(INDIRECT("'"&amp;B159&amp;"'!N"&amp;C159)=0,"N/A",INDIRECT("'"&amp;B159&amp;"'!N"&amp;C159))</f>
        <v>Yes/Partial/No</v>
      </c>
      <c r="P159" s="527" t="str" cm="1">
        <f t="array" aca="1" ref="P159" ca="1">IF(INDIRECT("'"&amp;B159&amp;"'!L"&amp;C159)=0,"",INDIRECT("'"&amp;B159&amp;"'!L"&amp;C159))</f>
        <v/>
      </c>
      <c r="Q159" s="527" t="str">
        <f t="shared" ca="1" si="16"/>
        <v/>
      </c>
      <c r="R159" s="563" t="str">
        <f t="shared" ca="1" si="17"/>
        <v>Yes</v>
      </c>
      <c r="S159" s="528" t="s">
        <v>1614</v>
      </c>
      <c r="T159" s="529" t="str">
        <f t="shared" si="18"/>
        <v/>
      </c>
      <c r="U159" s="529" t="str">
        <f t="shared" si="19"/>
        <v>X</v>
      </c>
      <c r="V159" s="529" t="str">
        <f t="shared" si="20"/>
        <v/>
      </c>
      <c r="W159" s="529" t="str">
        <f t="shared" si="21"/>
        <v>X</v>
      </c>
      <c r="X159" s="529" t="str">
        <f t="shared" si="22"/>
        <v/>
      </c>
      <c r="Y159" s="529" t="str">
        <f t="shared" si="23"/>
        <v/>
      </c>
    </row>
    <row r="160" spans="1:25" ht="25.05" x14ac:dyDescent="0.2">
      <c r="A160" s="253" t="s">
        <v>995</v>
      </c>
      <c r="B160" s="253" t="s">
        <v>1595</v>
      </c>
      <c r="C160" s="253">
        <v>72</v>
      </c>
      <c r="D160" s="253" t="s">
        <v>1579</v>
      </c>
      <c r="E160" s="253" t="s">
        <v>1612</v>
      </c>
      <c r="F160" s="253" t="s">
        <v>1574</v>
      </c>
      <c r="G160" s="215" t="str" cm="1">
        <f t="array" aca="1" ref="G160" ca="1">IF(INDIRECT("'"&amp;B160&amp;"'!B"&amp;C160)=0,"",INDIRECT("'"&amp;B160&amp;"'!B"&amp;C160))</f>
        <v>x</v>
      </c>
      <c r="H160" s="215" t="str" cm="1">
        <f t="array" aca="1" ref="H160" ca="1">IF(INDIRECT("'"&amp;B160&amp;"'!C"&amp;C160)=0,"",INDIRECT("'"&amp;B160&amp;"'!C"&amp;C160))</f>
        <v/>
      </c>
      <c r="I160" s="215" t="str" cm="1">
        <f t="array" aca="1" ref="I160" ca="1">IF(INDIRECT("'"&amp;B160&amp;"'!D"&amp;C160)=0,"",INDIRECT("'"&amp;B160&amp;"'!D"&amp;C160))</f>
        <v/>
      </c>
      <c r="J160" s="215" t="str" cm="1">
        <f t="array" aca="1" ref="J160" ca="1">IF(INDIRECT("'"&amp;B160&amp;"'!E"&amp;C160)=0,"",INDIRECT("'"&amp;B160&amp;"'!E"&amp;C160))</f>
        <v/>
      </c>
      <c r="K160" s="253" cm="1">
        <f t="array" aca="1" ref="K160" ca="1">IF(INDIRECT("'"&amp;B160&amp;"'!F"&amp;C160)=0,"N/A",INDIRECT("'"&amp;B160&amp;"'!F"&amp;C160))</f>
        <v>8.8000000000000007</v>
      </c>
      <c r="L160" s="253" cm="1">
        <f t="array" aca="1" ref="L160" ca="1">IF(INDIRECT("'"&amp;B160&amp;"'!G"&amp;C160)=0,"N/A",INDIRECT("'"&amp;B160&amp;"'!G"&amp;C160))</f>
        <v>3</v>
      </c>
      <c r="M160" s="253" t="str" cm="1">
        <f t="array" aca="1" ref="M160" ca="1">IF(INDIRECT("'"&amp;B160&amp;"'!H"&amp;C160)=0,"N/A",INDIRECT("'"&amp;B160&amp;"'!H"&amp;C160))</f>
        <v>8.8 #3</v>
      </c>
      <c r="N160" s="221" t="str" cm="1">
        <f t="array" aca="1" ref="N160" ca="1">IF(INDIRECT("'"&amp;B160&amp;"'!I"&amp;C160)=0,"N/A",INDIRECT("'"&amp;B160&amp;"'!I"&amp;C160))</f>
        <v>มีหน่วยงานที่รับผิดชอบในการเฝ้าระวัง ติดตาม วิเคราะห์ ประสานงาน และเป็นศูนย์กลางในการจัดการเหตุภัยคุกคาม เช่น หน่วยงาน security operations center (SOC) เป็นต้น</v>
      </c>
      <c r="O160" s="533" t="str" cm="1">
        <f t="array" aca="1" ref="O160" ca="1">IF(INDIRECT("'"&amp;B160&amp;"'!N"&amp;C160)=0,"N/A",INDIRECT("'"&amp;B160&amp;"'!N"&amp;C160))</f>
        <v>Yes/Partial/No</v>
      </c>
      <c r="P160" s="527" t="str" cm="1">
        <f t="array" aca="1" ref="P160" ca="1">IF(INDIRECT("'"&amp;B160&amp;"'!L"&amp;C160)=0,"",INDIRECT("'"&amp;B160&amp;"'!L"&amp;C160))</f>
        <v/>
      </c>
      <c r="Q160" s="527" t="str">
        <f t="shared" ca="1" si="16"/>
        <v/>
      </c>
      <c r="R160" s="563" t="str">
        <f t="shared" ca="1" si="17"/>
        <v>Yes</v>
      </c>
      <c r="S160" s="528" t="s">
        <v>1572</v>
      </c>
      <c r="T160" s="529" t="str">
        <f t="shared" si="18"/>
        <v>X</v>
      </c>
      <c r="U160" s="529" t="str">
        <f t="shared" si="19"/>
        <v/>
      </c>
      <c r="V160" s="529" t="str">
        <f t="shared" si="20"/>
        <v/>
      </c>
      <c r="W160" s="529" t="str">
        <f t="shared" si="21"/>
        <v/>
      </c>
      <c r="X160" s="529" t="str">
        <f t="shared" si="22"/>
        <v/>
      </c>
      <c r="Y160" s="529" t="str">
        <f t="shared" si="23"/>
        <v/>
      </c>
    </row>
    <row r="161" spans="1:25" ht="37.6" x14ac:dyDescent="0.2">
      <c r="A161" s="253" t="s">
        <v>999</v>
      </c>
      <c r="B161" s="253" t="s">
        <v>1595</v>
      </c>
      <c r="C161" s="253">
        <v>73</v>
      </c>
      <c r="D161" s="253" t="s">
        <v>1579</v>
      </c>
      <c r="E161" s="253" t="s">
        <v>1612</v>
      </c>
      <c r="F161" s="253" t="s">
        <v>1574</v>
      </c>
      <c r="G161" s="215" t="str" cm="1">
        <f t="array" aca="1" ref="G161" ca="1">IF(INDIRECT("'"&amp;B161&amp;"'!B"&amp;C161)=0,"",INDIRECT("'"&amp;B161&amp;"'!B"&amp;C161))</f>
        <v>x</v>
      </c>
      <c r="H161" s="215" t="str" cm="1">
        <f t="array" aca="1" ref="H161" ca="1">IF(INDIRECT("'"&amp;B161&amp;"'!C"&amp;C161)=0,"",INDIRECT("'"&amp;B161&amp;"'!C"&amp;C161))</f>
        <v/>
      </c>
      <c r="I161" s="215" t="str" cm="1">
        <f t="array" aca="1" ref="I161" ca="1">IF(INDIRECT("'"&amp;B161&amp;"'!D"&amp;C161)=0,"",INDIRECT("'"&amp;B161&amp;"'!D"&amp;C161))</f>
        <v/>
      </c>
      <c r="J161" s="215" t="str" cm="1">
        <f t="array" aca="1" ref="J161" ca="1">IF(INDIRECT("'"&amp;B161&amp;"'!E"&amp;C161)=0,"",INDIRECT("'"&amp;B161&amp;"'!E"&amp;C161))</f>
        <v/>
      </c>
      <c r="K161" s="253" cm="1">
        <f t="array" aca="1" ref="K161" ca="1">IF(INDIRECT("'"&amp;B161&amp;"'!F"&amp;C161)=0,"N/A",INDIRECT("'"&amp;B161&amp;"'!F"&amp;C161))</f>
        <v>8.8000000000000007</v>
      </c>
      <c r="L161" s="253" cm="1">
        <f t="array" aca="1" ref="L161" ca="1">IF(INDIRECT("'"&amp;B161&amp;"'!G"&amp;C161)=0,"N/A",INDIRECT("'"&amp;B161&amp;"'!G"&amp;C161))</f>
        <v>4</v>
      </c>
      <c r="M161" s="253" t="str" cm="1">
        <f t="array" aca="1" ref="M161" ca="1">IF(INDIRECT("'"&amp;B161&amp;"'!H"&amp;C161)=0,"N/A",INDIRECT("'"&amp;B161&amp;"'!H"&amp;C161))</f>
        <v>8.8 #4</v>
      </c>
      <c r="N161" s="221" t="str" cm="1">
        <f t="array" aca="1" ref="N161" ca="1">IF(INDIRECT("'"&amp;B161&amp;"'!I"&amp;C161)=0,"N/A",INDIRECT("'"&amp;B161&amp;"'!I"&amp;C161))</f>
        <v>มีระบบรวบรวมข้อมูลเหตุการณ์จากแหล่งข้อมูลต่าง ๆ เช่น อุปกรณ์เครือข่าย ระบบงาน และระบบรักษาความปลอดภัยเครือข่าย เป็นต้น เพื่อใช้ในกระบวนการเชื่อมโยงข้อมูล (log correlation) และนำมาวิเคราะห์เหตุการณ์ผิดปกติด้านความมั่นคงปลอดภัยสารสนเทศ</v>
      </c>
      <c r="O161" s="533" t="str" cm="1">
        <f t="array" aca="1" ref="O161" ca="1">IF(INDIRECT("'"&amp;B161&amp;"'!N"&amp;C161)=0,"N/A",INDIRECT("'"&amp;B161&amp;"'!N"&amp;C161))</f>
        <v>Yes/Partial/No</v>
      </c>
      <c r="P161" s="527" t="str" cm="1">
        <f t="array" aca="1" ref="P161" ca="1">IF(INDIRECT("'"&amp;B161&amp;"'!L"&amp;C161)=0,"",INDIRECT("'"&amp;B161&amp;"'!L"&amp;C161))</f>
        <v/>
      </c>
      <c r="Q161" s="527" t="str">
        <f t="shared" ca="1" si="16"/>
        <v/>
      </c>
      <c r="R161" s="563" t="str">
        <f t="shared" ca="1" si="17"/>
        <v>Yes</v>
      </c>
      <c r="S161" s="528" t="s">
        <v>1613</v>
      </c>
      <c r="T161" s="529" t="str">
        <f t="shared" si="18"/>
        <v/>
      </c>
      <c r="U161" s="529" t="str">
        <f t="shared" si="19"/>
        <v/>
      </c>
      <c r="V161" s="529" t="str">
        <f t="shared" si="20"/>
        <v/>
      </c>
      <c r="W161" s="529" t="str">
        <f t="shared" si="21"/>
        <v>X</v>
      </c>
      <c r="X161" s="529" t="str">
        <f t="shared" si="22"/>
        <v/>
      </c>
      <c r="Y161" s="529" t="str">
        <f t="shared" si="23"/>
        <v/>
      </c>
    </row>
    <row r="162" spans="1:25" ht="50.1" x14ac:dyDescent="0.2">
      <c r="A162" s="253" t="s">
        <v>1003</v>
      </c>
      <c r="B162" s="253" t="s">
        <v>1595</v>
      </c>
      <c r="C162" s="253">
        <v>74</v>
      </c>
      <c r="D162" s="253" t="s">
        <v>1579</v>
      </c>
      <c r="E162" s="253" t="s">
        <v>1612</v>
      </c>
      <c r="F162" s="253" t="s">
        <v>1574</v>
      </c>
      <c r="G162" s="215" t="str" cm="1">
        <f t="array" aca="1" ref="G162" ca="1">IF(INDIRECT("'"&amp;B162&amp;"'!B"&amp;C162)=0,"",INDIRECT("'"&amp;B162&amp;"'!B"&amp;C162))</f>
        <v>x</v>
      </c>
      <c r="H162" s="215" t="str" cm="1">
        <f t="array" aca="1" ref="H162" ca="1">IF(INDIRECT("'"&amp;B162&amp;"'!C"&amp;C162)=0,"",INDIRECT("'"&amp;B162&amp;"'!C"&amp;C162))</f>
        <v/>
      </c>
      <c r="I162" s="215" t="str" cm="1">
        <f t="array" aca="1" ref="I162" ca="1">IF(INDIRECT("'"&amp;B162&amp;"'!D"&amp;C162)=0,"",INDIRECT("'"&amp;B162&amp;"'!D"&amp;C162))</f>
        <v/>
      </c>
      <c r="J162" s="215" t="str" cm="1">
        <f t="array" aca="1" ref="J162" ca="1">IF(INDIRECT("'"&amp;B162&amp;"'!E"&amp;C162)=0,"",INDIRECT("'"&amp;B162&amp;"'!E"&amp;C162))</f>
        <v/>
      </c>
      <c r="K162" s="253" cm="1">
        <f t="array" aca="1" ref="K162" ca="1">IF(INDIRECT("'"&amp;B162&amp;"'!F"&amp;C162)=0,"N/A",INDIRECT("'"&amp;B162&amp;"'!F"&amp;C162))</f>
        <v>8.8000000000000007</v>
      </c>
      <c r="L162" s="253" cm="1">
        <f t="array" aca="1" ref="L162" ca="1">IF(INDIRECT("'"&amp;B162&amp;"'!G"&amp;C162)=0,"N/A",INDIRECT("'"&amp;B162&amp;"'!G"&amp;C162))</f>
        <v>5</v>
      </c>
      <c r="M162" s="253" t="str" cm="1">
        <f t="array" aca="1" ref="M162" ca="1">IF(INDIRECT("'"&amp;B162&amp;"'!H"&amp;C162)=0,"N/A",INDIRECT("'"&amp;B162&amp;"'!H"&amp;C162))</f>
        <v>8.8 #5</v>
      </c>
      <c r="N162" s="221" t="str" cm="1">
        <f t="array" aca="1" ref="N162" ca="1">IF(INDIRECT("'"&amp;B162&amp;"'!I"&amp;C162)=0,"N/A",INDIRECT("'"&amp;B162&amp;"'!I"&amp;C162))</f>
        <v>มีกระบวนการหรือเครื่องมือตรวจจับการแก้ไขเปลี่ยนแปลงไฟล์หรือการตั้งค่า (configuration) บนระบบ IT หรืออุปกรณ์ที่มีนัยสำคัญ เช่น การทำ file integrity monitoring (FIM)/file integrity check บนเครื่องแม่ข่ายที่เชื่อมต่ออินเทอร์เน็ต และการตรวจจับการเปลี่ยนแปลงแก้ไขการตั้งค่าอุปกรณ์เครือข่ายที่สำคัญ (เช่น firewall)  เป็นต้น</v>
      </c>
      <c r="O162" s="533" t="str" cm="1">
        <f t="array" aca="1" ref="O162" ca="1">IF(INDIRECT("'"&amp;B162&amp;"'!N"&amp;C162)=0,"N/A",INDIRECT("'"&amp;B162&amp;"'!N"&amp;C162))</f>
        <v>Yes/Partial/No</v>
      </c>
      <c r="P162" s="527" t="str" cm="1">
        <f t="array" aca="1" ref="P162" ca="1">IF(INDIRECT("'"&amp;B162&amp;"'!L"&amp;C162)=0,"",INDIRECT("'"&amp;B162&amp;"'!L"&amp;C162))</f>
        <v/>
      </c>
      <c r="Q162" s="527" t="str">
        <f t="shared" ca="1" si="16"/>
        <v/>
      </c>
      <c r="R162" s="563" t="str">
        <f t="shared" ca="1" si="17"/>
        <v>Yes</v>
      </c>
      <c r="S162" s="528" t="s">
        <v>1613</v>
      </c>
      <c r="T162" s="529" t="str">
        <f t="shared" si="18"/>
        <v/>
      </c>
      <c r="U162" s="529" t="str">
        <f t="shared" si="19"/>
        <v/>
      </c>
      <c r="V162" s="529" t="str">
        <f t="shared" si="20"/>
        <v/>
      </c>
      <c r="W162" s="529" t="str">
        <f t="shared" si="21"/>
        <v>X</v>
      </c>
      <c r="X162" s="529" t="str">
        <f t="shared" si="22"/>
        <v/>
      </c>
      <c r="Y162" s="529" t="str">
        <f t="shared" si="23"/>
        <v/>
      </c>
    </row>
    <row r="163" spans="1:25" ht="37.6" x14ac:dyDescent="0.2">
      <c r="A163" s="253" t="s">
        <v>1007</v>
      </c>
      <c r="B163" s="253" t="s">
        <v>1595</v>
      </c>
      <c r="C163" s="253">
        <v>75</v>
      </c>
      <c r="D163" s="253" t="s">
        <v>1579</v>
      </c>
      <c r="E163" s="253" t="s">
        <v>1612</v>
      </c>
      <c r="F163" s="253" t="s">
        <v>1574</v>
      </c>
      <c r="G163" s="215" t="str" cm="1">
        <f t="array" aca="1" ref="G163" ca="1">IF(INDIRECT("'"&amp;B163&amp;"'!B"&amp;C163)=0,"",INDIRECT("'"&amp;B163&amp;"'!B"&amp;C163))</f>
        <v>x</v>
      </c>
      <c r="H163" s="215" t="str" cm="1">
        <f t="array" aca="1" ref="H163" ca="1">IF(INDIRECT("'"&amp;B163&amp;"'!C"&amp;C163)=0,"",INDIRECT("'"&amp;B163&amp;"'!C"&amp;C163))</f>
        <v/>
      </c>
      <c r="I163" s="215" t="str" cm="1">
        <f t="array" aca="1" ref="I163" ca="1">IF(INDIRECT("'"&amp;B163&amp;"'!D"&amp;C163)=0,"",INDIRECT("'"&amp;B163&amp;"'!D"&amp;C163))</f>
        <v/>
      </c>
      <c r="J163" s="215" t="str" cm="1">
        <f t="array" aca="1" ref="J163" ca="1">IF(INDIRECT("'"&amp;B163&amp;"'!E"&amp;C163)=0,"",INDIRECT("'"&amp;B163&amp;"'!E"&amp;C163))</f>
        <v/>
      </c>
      <c r="K163" s="253" cm="1">
        <f t="array" aca="1" ref="K163" ca="1">IF(INDIRECT("'"&amp;B163&amp;"'!F"&amp;C163)=0,"N/A",INDIRECT("'"&amp;B163&amp;"'!F"&amp;C163))</f>
        <v>8.8000000000000007</v>
      </c>
      <c r="L163" s="253" cm="1">
        <f t="array" aca="1" ref="L163" ca="1">IF(INDIRECT("'"&amp;B163&amp;"'!G"&amp;C163)=0,"N/A",INDIRECT("'"&amp;B163&amp;"'!G"&amp;C163))</f>
        <v>6</v>
      </c>
      <c r="M163" s="253" t="str" cm="1">
        <f t="array" aca="1" ref="M163" ca="1">IF(INDIRECT("'"&amp;B163&amp;"'!H"&amp;C163)=0,"N/A",INDIRECT("'"&amp;B163&amp;"'!H"&amp;C163))</f>
        <v>8.8 #6</v>
      </c>
      <c r="N163" s="221" t="str" cm="1">
        <f t="array" aca="1" ref="N163" ca="1">IF(INDIRECT("'"&amp;B163&amp;"'!I"&amp;C163)=0,"N/A",INDIRECT("'"&amp;B163&amp;"'!I"&amp;C163))</f>
        <v xml:space="preserve">มีกระบวนการหรือเครื่องมือติดตามและแจ้งเตือนพฤติกรรมต้องสงสัยของผู้ใช้งาน เช่น พฤติกรรมการใช้งานเครือข่ายที่ผิดปกติ การถ่ายโอนข้อมูลเป็นจำนวนมาก การเข้าใช้งานในระบบงานในช่วงเวลาผิดปกติ หรือการเข้าใช้งานจากเครื่องคอมพิวเตอร์ที่ไม่เคยมีการใช้งาน เป็นต้น </v>
      </c>
      <c r="O163" s="533" t="str" cm="1">
        <f t="array" aca="1" ref="O163" ca="1">IF(INDIRECT("'"&amp;B163&amp;"'!N"&amp;C163)=0,"N/A",INDIRECT("'"&amp;B163&amp;"'!N"&amp;C163))</f>
        <v>Yes/Partial/No</v>
      </c>
      <c r="P163" s="527" t="str" cm="1">
        <f t="array" aca="1" ref="P163" ca="1">IF(INDIRECT("'"&amp;B163&amp;"'!L"&amp;C163)=0,"",INDIRECT("'"&amp;B163&amp;"'!L"&amp;C163))</f>
        <v/>
      </c>
      <c r="Q163" s="527" t="str">
        <f t="shared" ca="1" si="16"/>
        <v/>
      </c>
      <c r="R163" s="563" t="str">
        <f t="shared" ca="1" si="17"/>
        <v>Yes</v>
      </c>
      <c r="S163" s="528" t="s">
        <v>1591</v>
      </c>
      <c r="T163" s="529" t="str">
        <f t="shared" si="18"/>
        <v/>
      </c>
      <c r="U163" s="529" t="str">
        <f t="shared" si="19"/>
        <v/>
      </c>
      <c r="V163" s="529" t="str">
        <f t="shared" si="20"/>
        <v/>
      </c>
      <c r="W163" s="529" t="str">
        <f t="shared" si="21"/>
        <v>X</v>
      </c>
      <c r="X163" s="529" t="str">
        <f t="shared" si="22"/>
        <v/>
      </c>
      <c r="Y163" s="529" t="str">
        <f t="shared" si="23"/>
        <v/>
      </c>
    </row>
    <row r="164" spans="1:25" ht="37.6" x14ac:dyDescent="0.2">
      <c r="A164" s="253" t="s">
        <v>1012</v>
      </c>
      <c r="B164" s="253" t="s">
        <v>1595</v>
      </c>
      <c r="C164" s="253">
        <v>77</v>
      </c>
      <c r="D164" s="253" t="s">
        <v>1579</v>
      </c>
      <c r="E164" s="253" t="s">
        <v>1615</v>
      </c>
      <c r="F164" s="253" t="s">
        <v>1571</v>
      </c>
      <c r="G164" s="215" t="str" cm="1">
        <f t="array" aca="1" ref="G164" ca="1">IF(INDIRECT("'"&amp;B164&amp;"'!B"&amp;C164)=0,"",INDIRECT("'"&amp;B164&amp;"'!B"&amp;C164))</f>
        <v>x</v>
      </c>
      <c r="H164" s="215" t="str" cm="1">
        <f t="array" aca="1" ref="H164" ca="1">IF(INDIRECT("'"&amp;B164&amp;"'!C"&amp;C164)=0,"",INDIRECT("'"&amp;B164&amp;"'!C"&amp;C164))</f>
        <v>x</v>
      </c>
      <c r="I164" s="215" t="str" cm="1">
        <f t="array" aca="1" ref="I164" ca="1">IF(INDIRECT("'"&amp;B164&amp;"'!D"&amp;C164)=0,"",INDIRECT("'"&amp;B164&amp;"'!D"&amp;C164))</f>
        <v>x</v>
      </c>
      <c r="J164" s="215" t="str" cm="1">
        <f t="array" aca="1" ref="J164" ca="1">IF(INDIRECT("'"&amp;B164&amp;"'!E"&amp;C164)=0,"",INDIRECT("'"&amp;B164&amp;"'!E"&amp;C164))</f>
        <v>x</v>
      </c>
      <c r="K164" s="253" cm="1">
        <f t="array" aca="1" ref="K164" ca="1">IF(INDIRECT("'"&amp;B164&amp;"'!F"&amp;C164)=0,"N/A",INDIRECT("'"&amp;B164&amp;"'!F"&amp;C164))</f>
        <v>8.9</v>
      </c>
      <c r="L164" s="253" cm="1">
        <f t="array" aca="1" ref="L164" ca="1">IF(INDIRECT("'"&amp;B164&amp;"'!G"&amp;C164)=0,"N/A",INDIRECT("'"&amp;B164&amp;"'!G"&amp;C164))</f>
        <v>1</v>
      </c>
      <c r="M164" s="253" t="str" cm="1">
        <f t="array" aca="1" ref="M164" ca="1">IF(INDIRECT("'"&amp;B164&amp;"'!H"&amp;C164)=0,"N/A",INDIRECT("'"&amp;B164&amp;"'!H"&amp;C164))</f>
        <v>8.9 #1</v>
      </c>
      <c r="N164" s="221" t="str" cm="1">
        <f t="array" aca="1" ref="N164" ca="1">IF(INDIRECT("'"&amp;B164&amp;"'!I"&amp;C164)=0,"N/A",INDIRECT("'"&amp;B164&amp;"'!I"&amp;C164))</f>
        <v>มีการกำหนดขอบเขตและความถี่ของการประเมินช่องโหว่ทางเทคนิคให้ครอบคลุมทุกระบบงานตามระดับความเสี่ยง ทั้งนี้ สำหรับระบบ IT ที่มีนัยสำคัญและระบบ IT ที่เชื่อมต่อกับเครือข่ายสาธารณะทุกระบบต้องได้รับการประเมินช่องโหว่อย่างน้อยปีละ 1 ครั้ง และทุกครั้งที่มีการเปลี่ยนแปลงระบบดังกล่าวอย่างมีนัยสำคัญ</v>
      </c>
      <c r="O164" s="533" t="str" cm="1">
        <f t="array" aca="1" ref="O164" ca="1">IF(INDIRECT("'"&amp;B164&amp;"'!N"&amp;C164)=0,"N/A",INDIRECT("'"&amp;B164&amp;"'!N"&amp;C164))</f>
        <v>Yes/Partial/No</v>
      </c>
      <c r="P164" s="527" t="str" cm="1">
        <f t="array" aca="1" ref="P164" ca="1">IF(INDIRECT("'"&amp;B164&amp;"'!L"&amp;C164)=0,"",INDIRECT("'"&amp;B164&amp;"'!L"&amp;C164))</f>
        <v/>
      </c>
      <c r="Q164" s="527" t="str">
        <f t="shared" ca="1" si="16"/>
        <v/>
      </c>
      <c r="R164" s="563" t="str">
        <f t="shared" ca="1" si="17"/>
        <v>Yes</v>
      </c>
      <c r="S164" s="528" t="s">
        <v>1575</v>
      </c>
      <c r="T164" s="529" t="str">
        <f t="shared" si="18"/>
        <v/>
      </c>
      <c r="U164" s="529" t="str">
        <f t="shared" si="19"/>
        <v>X</v>
      </c>
      <c r="V164" s="529" t="str">
        <f t="shared" si="20"/>
        <v/>
      </c>
      <c r="W164" s="529" t="str">
        <f t="shared" si="21"/>
        <v/>
      </c>
      <c r="X164" s="529" t="str">
        <f t="shared" si="22"/>
        <v/>
      </c>
      <c r="Y164" s="529" t="str">
        <f t="shared" si="23"/>
        <v/>
      </c>
    </row>
    <row r="165" spans="1:25" x14ac:dyDescent="0.2">
      <c r="A165" s="253" t="s">
        <v>1016</v>
      </c>
      <c r="B165" s="253" t="s">
        <v>1595</v>
      </c>
      <c r="C165" s="253">
        <v>78</v>
      </c>
      <c r="D165" s="253" t="s">
        <v>1579</v>
      </c>
      <c r="E165" s="253" t="s">
        <v>1615</v>
      </c>
      <c r="F165" s="253" t="s">
        <v>1571</v>
      </c>
      <c r="G165" s="215" t="str" cm="1">
        <f t="array" aca="1" ref="G165" ca="1">IF(INDIRECT("'"&amp;B165&amp;"'!B"&amp;C165)=0,"",INDIRECT("'"&amp;B165&amp;"'!B"&amp;C165))</f>
        <v>x</v>
      </c>
      <c r="H165" s="215" t="str" cm="1">
        <f t="array" aca="1" ref="H165" ca="1">IF(INDIRECT("'"&amp;B165&amp;"'!C"&amp;C165)=0,"",INDIRECT("'"&amp;B165&amp;"'!C"&amp;C165))</f>
        <v>x</v>
      </c>
      <c r="I165" s="215" t="str" cm="1">
        <f t="array" aca="1" ref="I165" ca="1">IF(INDIRECT("'"&amp;B165&amp;"'!D"&amp;C165)=0,"",INDIRECT("'"&amp;B165&amp;"'!D"&amp;C165))</f>
        <v>x</v>
      </c>
      <c r="J165" s="215" t="str" cm="1">
        <f t="array" aca="1" ref="J165" ca="1">IF(INDIRECT("'"&amp;B165&amp;"'!E"&amp;C165)=0,"",INDIRECT("'"&amp;B165&amp;"'!E"&amp;C165))</f>
        <v>x</v>
      </c>
      <c r="K165" s="253" cm="1">
        <f t="array" aca="1" ref="K165" ca="1">IF(INDIRECT("'"&amp;B165&amp;"'!F"&amp;C165)=0,"N/A",INDIRECT("'"&amp;B165&amp;"'!F"&amp;C165))</f>
        <v>8.9</v>
      </c>
      <c r="L165" s="253" cm="1">
        <f t="array" aca="1" ref="L165" ca="1">IF(INDIRECT("'"&amp;B165&amp;"'!G"&amp;C165)=0,"N/A",INDIRECT("'"&amp;B165&amp;"'!G"&amp;C165))</f>
        <v>2</v>
      </c>
      <c r="M165" s="253" t="str" cm="1">
        <f t="array" aca="1" ref="M165" ca="1">IF(INDIRECT("'"&amp;B165&amp;"'!H"&amp;C165)=0,"N/A",INDIRECT("'"&amp;B165&amp;"'!H"&amp;C165))</f>
        <v>8.9 #2</v>
      </c>
      <c r="N165" s="221" t="str" cm="1">
        <f t="array" aca="1" ref="N165" ca="1">IF(INDIRECT("'"&amp;B165&amp;"'!I"&amp;C165)=0,"N/A",INDIRECT("'"&amp;B165&amp;"'!I"&amp;C165))</f>
        <v>มีการประเมินความเสี่ยงของช่องโหว่ที่ตรวจพบและกำหนดระยะเวลาแก้ไขที่เหมาะสมกับความเสี่ยง</v>
      </c>
      <c r="O165" s="533" t="str" cm="1">
        <f t="array" aca="1" ref="O165" ca="1">IF(INDIRECT("'"&amp;B165&amp;"'!N"&amp;C165)=0,"N/A",INDIRECT("'"&amp;B165&amp;"'!N"&amp;C165))</f>
        <v>Yes/Partial/No</v>
      </c>
      <c r="P165" s="527" t="str" cm="1">
        <f t="array" aca="1" ref="P165" ca="1">IF(INDIRECT("'"&amp;B165&amp;"'!L"&amp;C165)=0,"",INDIRECT("'"&amp;B165&amp;"'!L"&amp;C165))</f>
        <v/>
      </c>
      <c r="Q165" s="527" t="str">
        <f t="shared" ca="1" si="16"/>
        <v/>
      </c>
      <c r="R165" s="563" t="str">
        <f t="shared" ca="1" si="17"/>
        <v>Yes</v>
      </c>
      <c r="S165" s="528" t="s">
        <v>1575</v>
      </c>
      <c r="T165" s="529" t="str">
        <f t="shared" si="18"/>
        <v/>
      </c>
      <c r="U165" s="529" t="str">
        <f t="shared" si="19"/>
        <v>X</v>
      </c>
      <c r="V165" s="529" t="str">
        <f t="shared" si="20"/>
        <v/>
      </c>
      <c r="W165" s="529" t="str">
        <f t="shared" si="21"/>
        <v/>
      </c>
      <c r="X165" s="529" t="str">
        <f t="shared" si="22"/>
        <v/>
      </c>
      <c r="Y165" s="529" t="str">
        <f t="shared" si="23"/>
        <v/>
      </c>
    </row>
    <row r="166" spans="1:25" x14ac:dyDescent="0.2">
      <c r="A166" s="253" t="s">
        <v>1020</v>
      </c>
      <c r="B166" s="253" t="s">
        <v>1595</v>
      </c>
      <c r="C166" s="253">
        <v>79</v>
      </c>
      <c r="D166" s="253" t="s">
        <v>1579</v>
      </c>
      <c r="E166" s="253" t="s">
        <v>1615</v>
      </c>
      <c r="F166" s="253" t="s">
        <v>1571</v>
      </c>
      <c r="G166" s="215" t="str" cm="1">
        <f t="array" aca="1" ref="G166" ca="1">IF(INDIRECT("'"&amp;B166&amp;"'!B"&amp;C166)=0,"",INDIRECT("'"&amp;B166&amp;"'!B"&amp;C166))</f>
        <v>x</v>
      </c>
      <c r="H166" s="215" t="str" cm="1">
        <f t="array" aca="1" ref="H166" ca="1">IF(INDIRECT("'"&amp;B166&amp;"'!C"&amp;C166)=0,"",INDIRECT("'"&amp;B166&amp;"'!C"&amp;C166))</f>
        <v>x</v>
      </c>
      <c r="I166" s="215" t="str" cm="1">
        <f t="array" aca="1" ref="I166" ca="1">IF(INDIRECT("'"&amp;B166&amp;"'!D"&amp;C166)=0,"",INDIRECT("'"&amp;B166&amp;"'!D"&amp;C166))</f>
        <v>x</v>
      </c>
      <c r="J166" s="215" t="str" cm="1">
        <f t="array" aca="1" ref="J166" ca="1">IF(INDIRECT("'"&amp;B166&amp;"'!E"&amp;C166)=0,"",INDIRECT("'"&amp;B166&amp;"'!E"&amp;C166))</f>
        <v>x</v>
      </c>
      <c r="K166" s="253" cm="1">
        <f t="array" aca="1" ref="K166" ca="1">IF(INDIRECT("'"&amp;B166&amp;"'!F"&amp;C166)=0,"N/A",INDIRECT("'"&amp;B166&amp;"'!F"&amp;C166))</f>
        <v>8.9</v>
      </c>
      <c r="L166" s="253" cm="1">
        <f t="array" aca="1" ref="L166" ca="1">IF(INDIRECT("'"&amp;B166&amp;"'!G"&amp;C166)=0,"N/A",INDIRECT("'"&amp;B166&amp;"'!G"&amp;C166))</f>
        <v>3</v>
      </c>
      <c r="M166" s="253" t="str" cm="1">
        <f t="array" aca="1" ref="M166" ca="1">IF(INDIRECT("'"&amp;B166&amp;"'!H"&amp;C166)=0,"N/A",INDIRECT("'"&amp;B166&amp;"'!H"&amp;C166))</f>
        <v>8.9 #3</v>
      </c>
      <c r="N166" s="221" t="str" cm="1">
        <f t="array" aca="1" ref="N166" ca="1">IF(INDIRECT("'"&amp;B166&amp;"'!I"&amp;C166)=0,"N/A",INDIRECT("'"&amp;B166&amp;"'!I"&amp;C166))</f>
        <v xml:space="preserve">มีการรายงานผลการประเมินช่องโหว่ไปยังผู้รับผิดชอบ </v>
      </c>
      <c r="O166" s="533" t="str" cm="1">
        <f t="array" aca="1" ref="O166" ca="1">IF(INDIRECT("'"&amp;B166&amp;"'!N"&amp;C166)=0,"N/A",INDIRECT("'"&amp;B166&amp;"'!N"&amp;C166))</f>
        <v>Yes/Partial/No</v>
      </c>
      <c r="P166" s="527" t="str" cm="1">
        <f t="array" aca="1" ref="P166" ca="1">IF(INDIRECT("'"&amp;B166&amp;"'!L"&amp;C166)=0,"",INDIRECT("'"&amp;B166&amp;"'!L"&amp;C166))</f>
        <v/>
      </c>
      <c r="Q166" s="527" t="str">
        <f t="shared" ca="1" si="16"/>
        <v/>
      </c>
      <c r="R166" s="563" t="str">
        <f t="shared" ca="1" si="17"/>
        <v>Yes</v>
      </c>
      <c r="S166" s="528" t="s">
        <v>1575</v>
      </c>
      <c r="T166" s="529" t="str">
        <f t="shared" si="18"/>
        <v/>
      </c>
      <c r="U166" s="529" t="str">
        <f t="shared" si="19"/>
        <v>X</v>
      </c>
      <c r="V166" s="529" t="str">
        <f t="shared" si="20"/>
        <v/>
      </c>
      <c r="W166" s="529" t="str">
        <f t="shared" si="21"/>
        <v/>
      </c>
      <c r="X166" s="529" t="str">
        <f t="shared" si="22"/>
        <v/>
      </c>
      <c r="Y166" s="529" t="str">
        <f t="shared" si="23"/>
        <v/>
      </c>
    </row>
    <row r="167" spans="1:25" ht="25.05" x14ac:dyDescent="0.2">
      <c r="A167" s="253" t="s">
        <v>1024</v>
      </c>
      <c r="B167" s="253" t="s">
        <v>1595</v>
      </c>
      <c r="C167" s="253">
        <v>80</v>
      </c>
      <c r="D167" s="253" t="s">
        <v>1579</v>
      </c>
      <c r="E167" s="253" t="s">
        <v>1615</v>
      </c>
      <c r="F167" s="253" t="s">
        <v>1571</v>
      </c>
      <c r="G167" s="215" t="str" cm="1">
        <f t="array" aca="1" ref="G167" ca="1">IF(INDIRECT("'"&amp;B167&amp;"'!B"&amp;C167)=0,"",INDIRECT("'"&amp;B167&amp;"'!B"&amp;C167))</f>
        <v>x</v>
      </c>
      <c r="H167" s="215" t="str" cm="1">
        <f t="array" aca="1" ref="H167" ca="1">IF(INDIRECT("'"&amp;B167&amp;"'!C"&amp;C167)=0,"",INDIRECT("'"&amp;B167&amp;"'!C"&amp;C167))</f>
        <v>x</v>
      </c>
      <c r="I167" s="215" t="str" cm="1">
        <f t="array" aca="1" ref="I167" ca="1">IF(INDIRECT("'"&amp;B167&amp;"'!D"&amp;C167)=0,"",INDIRECT("'"&amp;B167&amp;"'!D"&amp;C167))</f>
        <v>x</v>
      </c>
      <c r="J167" s="215" t="str" cm="1">
        <f t="array" aca="1" ref="J167" ca="1">IF(INDIRECT("'"&amp;B167&amp;"'!E"&amp;C167)=0,"",INDIRECT("'"&amp;B167&amp;"'!E"&amp;C167))</f>
        <v>x</v>
      </c>
      <c r="K167" s="253" cm="1">
        <f t="array" aca="1" ref="K167" ca="1">IF(INDIRECT("'"&amp;B167&amp;"'!F"&amp;C167)=0,"N/A",INDIRECT("'"&amp;B167&amp;"'!F"&amp;C167))</f>
        <v>8.9</v>
      </c>
      <c r="L167" s="253" cm="1">
        <f t="array" aca="1" ref="L167" ca="1">IF(INDIRECT("'"&amp;B167&amp;"'!G"&amp;C167)=0,"N/A",INDIRECT("'"&amp;B167&amp;"'!G"&amp;C167))</f>
        <v>3</v>
      </c>
      <c r="M167" s="253" t="str" cm="1">
        <f t="array" aca="1" ref="M167" ca="1">IF(INDIRECT("'"&amp;B167&amp;"'!H"&amp;C167)=0,"N/A",INDIRECT("'"&amp;B167&amp;"'!H"&amp;C167))</f>
        <v>8.9 #3</v>
      </c>
      <c r="N167" s="221" t="str" cm="1">
        <f t="array" aca="1" ref="N167" ca="1">IF(INDIRECT("'"&amp;B167&amp;"'!I"&amp;C167)=0,"N/A",INDIRECT("'"&amp;B167&amp;"'!I"&amp;C167))</f>
        <v>มีการติดตามให้มีการแก้ไขช่องโหว่ภายในระยะเวลาที่กำหนดไว้ โดยนำเสนอความคืบหน้าของการดำเนินการต่อคณะกรรมการหรือผู้บริหารระดับสูงที่ได้รับมอบหมาย</v>
      </c>
      <c r="O167" s="533" t="str" cm="1">
        <f t="array" aca="1" ref="O167" ca="1">IF(INDIRECT("'"&amp;B167&amp;"'!N"&amp;C167)=0,"N/A",INDIRECT("'"&amp;B167&amp;"'!N"&amp;C167))</f>
        <v>Yes/Partial/No</v>
      </c>
      <c r="P167" s="527" t="str" cm="1">
        <f t="array" aca="1" ref="P167" ca="1">IF(INDIRECT("'"&amp;B167&amp;"'!L"&amp;C167)=0,"",INDIRECT("'"&amp;B167&amp;"'!L"&amp;C167))</f>
        <v/>
      </c>
      <c r="Q167" s="527" t="str">
        <f t="shared" ca="1" si="16"/>
        <v/>
      </c>
      <c r="R167" s="563" t="str">
        <f t="shared" ca="1" si="17"/>
        <v>Yes</v>
      </c>
      <c r="S167" s="528" t="s">
        <v>1575</v>
      </c>
      <c r="T167" s="529" t="str">
        <f t="shared" si="18"/>
        <v/>
      </c>
      <c r="U167" s="529" t="str">
        <f t="shared" si="19"/>
        <v>X</v>
      </c>
      <c r="V167" s="529" t="str">
        <f t="shared" si="20"/>
        <v/>
      </c>
      <c r="W167" s="529" t="str">
        <f t="shared" si="21"/>
        <v/>
      </c>
      <c r="X167" s="529" t="str">
        <f t="shared" si="22"/>
        <v/>
      </c>
      <c r="Y167" s="529" t="str">
        <f t="shared" si="23"/>
        <v/>
      </c>
    </row>
    <row r="168" spans="1:25" ht="137.75" x14ac:dyDescent="0.2">
      <c r="A168" s="253" t="s">
        <v>1028</v>
      </c>
      <c r="B168" s="253" t="s">
        <v>1595</v>
      </c>
      <c r="C168" s="253">
        <v>82</v>
      </c>
      <c r="D168" s="253" t="s">
        <v>1579</v>
      </c>
      <c r="E168" s="253" t="s">
        <v>1616</v>
      </c>
      <c r="F168" s="253" t="s">
        <v>1571</v>
      </c>
      <c r="G168" s="215" t="str" cm="1">
        <f t="array" aca="1" ref="G168" ca="1">IF(INDIRECT("'"&amp;B168&amp;"'!B"&amp;C168)=0,"",INDIRECT("'"&amp;B168&amp;"'!B"&amp;C168))</f>
        <v>x</v>
      </c>
      <c r="H168" s="215" t="str" cm="1">
        <f t="array" aca="1" ref="H168" ca="1">IF(INDIRECT("'"&amp;B168&amp;"'!C"&amp;C168)=0,"",INDIRECT("'"&amp;B168&amp;"'!C"&amp;C168))</f>
        <v>x</v>
      </c>
      <c r="I168" s="215" t="str" cm="1">
        <f t="array" aca="1" ref="I168" ca="1">IF(INDIRECT("'"&amp;B168&amp;"'!D"&amp;C168)=0,"",INDIRECT("'"&amp;B168&amp;"'!D"&amp;C168))</f>
        <v>x</v>
      </c>
      <c r="J168" s="215" t="str" cm="1">
        <f t="array" aca="1" ref="J168" ca="1">IF(INDIRECT("'"&amp;B168&amp;"'!E"&amp;C168)=0,"",INDIRECT("'"&amp;B168&amp;"'!E"&amp;C168))</f>
        <v>x</v>
      </c>
      <c r="K168" s="253" t="str" cm="1">
        <f t="array" aca="1" ref="K168" ca="1">IF(INDIRECT("'"&amp;B168&amp;"'!F"&amp;C168)=0,"N/A",INDIRECT("'"&amp;B168&amp;"'!F"&amp;C168))</f>
        <v>8.10.1</v>
      </c>
      <c r="L168" s="253" cm="1">
        <f t="array" aca="1" ref="L168" ca="1">IF(INDIRECT("'"&amp;B168&amp;"'!G"&amp;C168)=0,"N/A",INDIRECT("'"&amp;B168&amp;"'!G"&amp;C168))</f>
        <v>1</v>
      </c>
      <c r="M168" s="253" t="str" cm="1">
        <f t="array" aca="1" ref="M168" ca="1">IF(INDIRECT("'"&amp;B168&amp;"'!H"&amp;C168)=0,"N/A",INDIRECT("'"&amp;B168&amp;"'!H"&amp;C168))</f>
        <v>8.10.1 #1</v>
      </c>
      <c r="N168" s="221" t="str" cm="1">
        <f t="array" aca="1" ref="N168" ca="1">IF(INDIRECT("'"&amp;B168&amp;"'!I"&amp;C168)=0,"N/A",INDIRECT("'"&amp;B168&amp;"'!I"&amp;C168))</f>
        <v>[ผู้ประกอบธุรกิจที่มีความเสี่ยงระดับต่ำ กลาง หรือสูง] มีการทดสอบการเจาะระบบที่ครอบคลุมระบบงาน (application system) และระบบเครือข่ายที่มีช่องทางเชื่อมต่อกับเครือข่ายสาธารณะ (internet facing) อย่างน้อยปีละ 1 ครั้ง และทุกครั้งที่มีการเปลี่ยนแปลงระบบดังกล่าวอย่างมีนัยสำคัญ โดยระบบอื่น ๆ ควรจัดให้มีการประเมินความเสี่ยงจากการบุกรุกผ่านระบบเครือข่ายคอมพิวเตอร์ที่ใช้สื่อสารภายในองค์กร เพื่อกำหนดขอบเขตการทดสอบการเจาะระบบตามความเหมาะสม
[เฉพาะผู้ประกอบธุรกิจขนาดเล็ก] มีการทดสอบการเจาะระบบที่ครอบคลุมระบบงาน (application system) และระบบเครือข่ายที่มีช่องทางเชื่อมต่อกับเครือข่ายสาธารณะ (internet facing) อย่างน้อยทุก 3 ปี และทุกครั้งที่มีการเปลี่ยนแปลงระบบดังกล่าวอย่างมีนัยสำคัญ สำหรับระบบอื่น ๆ ควรจัดให้มีการประเมินความเสี่ยงจากการบุกรุกผ่านระบบเครือข่ายคอมพิวเตอร์ที่ใช้สื่อสารภายในองค์กร เพื่อกำหนดขอบเขตการทดสอบการเจาะระบบตามความเหมาะสม</v>
      </c>
      <c r="O168" s="533" t="str" cm="1">
        <f t="array" aca="1" ref="O168" ca="1">IF(INDIRECT("'"&amp;B168&amp;"'!N"&amp;C168)=0,"N/A",INDIRECT("'"&amp;B168&amp;"'!N"&amp;C168))</f>
        <v>Yes/Partial/No</v>
      </c>
      <c r="P168" s="527" t="str" cm="1">
        <f t="array" aca="1" ref="P168" ca="1">IF(INDIRECT("'"&amp;B168&amp;"'!L"&amp;C168)=0,"",INDIRECT("'"&amp;B168&amp;"'!L"&amp;C168))</f>
        <v/>
      </c>
      <c r="Q168" s="527" t="str">
        <f t="shared" ca="1" si="16"/>
        <v/>
      </c>
      <c r="R168" s="563" t="str">
        <f t="shared" ca="1" si="17"/>
        <v>Yes</v>
      </c>
      <c r="S168" s="528" t="s">
        <v>1585</v>
      </c>
      <c r="T168" s="529" t="str">
        <f t="shared" si="18"/>
        <v/>
      </c>
      <c r="U168" s="529" t="str">
        <f t="shared" si="19"/>
        <v>X</v>
      </c>
      <c r="V168" s="529" t="str">
        <f t="shared" si="20"/>
        <v/>
      </c>
      <c r="W168" s="533" t="str">
        <f t="shared" si="21"/>
        <v/>
      </c>
      <c r="X168" s="529" t="str">
        <f t="shared" si="22"/>
        <v/>
      </c>
      <c r="Y168" s="529" t="str">
        <f t="shared" si="23"/>
        <v/>
      </c>
    </row>
    <row r="169" spans="1:25" x14ac:dyDescent="0.2">
      <c r="A169" s="253" t="s">
        <v>1033</v>
      </c>
      <c r="B169" s="253" t="s">
        <v>1595</v>
      </c>
      <c r="C169" s="253">
        <v>83</v>
      </c>
      <c r="D169" s="253" t="s">
        <v>1579</v>
      </c>
      <c r="E169" s="253" t="s">
        <v>1616</v>
      </c>
      <c r="F169" s="253" t="s">
        <v>1571</v>
      </c>
      <c r="G169" s="215" t="str" cm="1">
        <f t="array" aca="1" ref="G169" ca="1">IF(INDIRECT("'"&amp;B169&amp;"'!B"&amp;C169)=0,"",INDIRECT("'"&amp;B169&amp;"'!B"&amp;C169))</f>
        <v>x</v>
      </c>
      <c r="H169" s="215" t="str" cm="1">
        <f t="array" aca="1" ref="H169" ca="1">IF(INDIRECT("'"&amp;B169&amp;"'!C"&amp;C169)=0,"",INDIRECT("'"&amp;B169&amp;"'!C"&amp;C169))</f>
        <v>x</v>
      </c>
      <c r="I169" s="215" t="str" cm="1">
        <f t="array" aca="1" ref="I169" ca="1">IF(INDIRECT("'"&amp;B169&amp;"'!D"&amp;C169)=0,"",INDIRECT("'"&amp;B169&amp;"'!D"&amp;C169))</f>
        <v>x</v>
      </c>
      <c r="J169" s="215" t="str" cm="1">
        <f t="array" aca="1" ref="J169" ca="1">IF(INDIRECT("'"&amp;B169&amp;"'!E"&amp;C169)=0,"",INDIRECT("'"&amp;B169&amp;"'!E"&amp;C169))</f>
        <v>x</v>
      </c>
      <c r="K169" s="253" t="str" cm="1">
        <f t="array" aca="1" ref="K169" ca="1">IF(INDIRECT("'"&amp;B169&amp;"'!F"&amp;C169)=0,"N/A",INDIRECT("'"&amp;B169&amp;"'!F"&amp;C169))</f>
        <v>8.10.1</v>
      </c>
      <c r="L169" s="253" cm="1">
        <f t="array" aca="1" ref="L169" ca="1">IF(INDIRECT("'"&amp;B169&amp;"'!G"&amp;C169)=0,"N/A",INDIRECT("'"&amp;B169&amp;"'!G"&amp;C169))</f>
        <v>2</v>
      </c>
      <c r="M169" s="253" t="str" cm="1">
        <f t="array" aca="1" ref="M169" ca="1">IF(INDIRECT("'"&amp;B169&amp;"'!H"&amp;C169)=0,"N/A",INDIRECT("'"&amp;B169&amp;"'!H"&amp;C169))</f>
        <v>8.10.1 #2</v>
      </c>
      <c r="N169" s="221" t="str" cm="1">
        <f t="array" aca="1" ref="N169" ca="1">IF(INDIRECT("'"&amp;B169&amp;"'!I"&amp;C169)=0,"N/A",INDIRECT("'"&amp;B169&amp;"'!I"&amp;C169))</f>
        <v xml:space="preserve">มีการประเมินความเสี่ยงของช่องโหว่ที่ตรวจพบและกำหนดระยะเวลาแก้ไขที่เหมาะสมกับความเสี่ยง </v>
      </c>
      <c r="O169" s="533" t="str" cm="1">
        <f t="array" aca="1" ref="O169" ca="1">IF(INDIRECT("'"&amp;B169&amp;"'!N"&amp;C169)=0,"N/A",INDIRECT("'"&amp;B169&amp;"'!N"&amp;C169))</f>
        <v>Yes/Partial/No</v>
      </c>
      <c r="P169" s="527" t="str" cm="1">
        <f t="array" aca="1" ref="P169" ca="1">IF(INDIRECT("'"&amp;B169&amp;"'!L"&amp;C169)=0,"",INDIRECT("'"&amp;B169&amp;"'!L"&amp;C169))</f>
        <v/>
      </c>
      <c r="Q169" s="527" t="str">
        <f t="shared" ca="1" si="16"/>
        <v/>
      </c>
      <c r="R169" s="563" t="str">
        <f t="shared" ca="1" si="17"/>
        <v>Yes</v>
      </c>
      <c r="S169" s="528" t="s">
        <v>1575</v>
      </c>
      <c r="T169" s="529" t="str">
        <f t="shared" si="18"/>
        <v/>
      </c>
      <c r="U169" s="529" t="str">
        <f t="shared" si="19"/>
        <v>X</v>
      </c>
      <c r="V169" s="529" t="str">
        <f t="shared" si="20"/>
        <v/>
      </c>
      <c r="W169" s="529" t="str">
        <f t="shared" si="21"/>
        <v/>
      </c>
      <c r="X169" s="529" t="str">
        <f t="shared" si="22"/>
        <v/>
      </c>
      <c r="Y169" s="529" t="str">
        <f t="shared" si="23"/>
        <v/>
      </c>
    </row>
    <row r="170" spans="1:25" ht="25.05" x14ac:dyDescent="0.2">
      <c r="A170" s="253" t="s">
        <v>1037</v>
      </c>
      <c r="B170" s="253" t="s">
        <v>1595</v>
      </c>
      <c r="C170" s="253">
        <v>84</v>
      </c>
      <c r="D170" s="253" t="s">
        <v>1579</v>
      </c>
      <c r="E170" s="253" t="s">
        <v>1616</v>
      </c>
      <c r="F170" s="253" t="s">
        <v>1571</v>
      </c>
      <c r="G170" s="215" t="str" cm="1">
        <f t="array" aca="1" ref="G170" ca="1">IF(INDIRECT("'"&amp;B170&amp;"'!B"&amp;C170)=0,"",INDIRECT("'"&amp;B170&amp;"'!B"&amp;C170))</f>
        <v>x</v>
      </c>
      <c r="H170" s="215" t="str" cm="1">
        <f t="array" aca="1" ref="H170" ca="1">IF(INDIRECT("'"&amp;B170&amp;"'!C"&amp;C170)=0,"",INDIRECT("'"&amp;B170&amp;"'!C"&amp;C170))</f>
        <v>x</v>
      </c>
      <c r="I170" s="215" t="str" cm="1">
        <f t="array" aca="1" ref="I170" ca="1">IF(INDIRECT("'"&amp;B170&amp;"'!D"&amp;C170)=0,"",INDIRECT("'"&amp;B170&amp;"'!D"&amp;C170))</f>
        <v>x</v>
      </c>
      <c r="J170" s="215" t="str" cm="1">
        <f t="array" aca="1" ref="J170" ca="1">IF(INDIRECT("'"&amp;B170&amp;"'!E"&amp;C170)=0,"",INDIRECT("'"&amp;B170&amp;"'!E"&amp;C170))</f>
        <v>x</v>
      </c>
      <c r="K170" s="253" t="str" cm="1">
        <f t="array" aca="1" ref="K170" ca="1">IF(INDIRECT("'"&amp;B170&amp;"'!F"&amp;C170)=0,"N/A",INDIRECT("'"&amp;B170&amp;"'!F"&amp;C170))</f>
        <v>8.10.1</v>
      </c>
      <c r="L170" s="253" cm="1">
        <f t="array" aca="1" ref="L170" ca="1">IF(INDIRECT("'"&amp;B170&amp;"'!G"&amp;C170)=0,"N/A",INDIRECT("'"&amp;B170&amp;"'!G"&amp;C170))</f>
        <v>3</v>
      </c>
      <c r="M170" s="253" t="str" cm="1">
        <f t="array" aca="1" ref="M170" ca="1">IF(INDIRECT("'"&amp;B170&amp;"'!H"&amp;C170)=0,"N/A",INDIRECT("'"&amp;B170&amp;"'!H"&amp;C170))</f>
        <v>8.10.1 #3</v>
      </c>
      <c r="N170" s="221" t="str" cm="1">
        <f t="array" aca="1" ref="N170" ca="1">IF(INDIRECT("'"&amp;B170&amp;"'!I"&amp;C170)=0,"N/A",INDIRECT("'"&amp;B170&amp;"'!I"&amp;C170))</f>
        <v>มีการรายงานสรุปผลการทดสอบการเจาะระบบไปยังผู้รับผิดชอบที่เกี่ยวข้อง เช่น หน่วยงานเจ้าของระบบ หน่วยงานกํากับการปฏิบัติงาน หรือหน่วยงานตรวจสอบภายใน เป็นต้น</v>
      </c>
      <c r="O170" s="533" t="str" cm="1">
        <f t="array" aca="1" ref="O170" ca="1">IF(INDIRECT("'"&amp;B170&amp;"'!N"&amp;C170)=0,"N/A",INDIRECT("'"&amp;B170&amp;"'!N"&amp;C170))</f>
        <v>Yes/Partial/No</v>
      </c>
      <c r="P170" s="527" t="str" cm="1">
        <f t="array" aca="1" ref="P170" ca="1">IF(INDIRECT("'"&amp;B170&amp;"'!L"&amp;C170)=0,"",INDIRECT("'"&amp;B170&amp;"'!L"&amp;C170))</f>
        <v/>
      </c>
      <c r="Q170" s="527" t="str">
        <f t="shared" ca="1" si="16"/>
        <v/>
      </c>
      <c r="R170" s="563" t="str">
        <f t="shared" ca="1" si="17"/>
        <v>Yes</v>
      </c>
      <c r="S170" s="528" t="s">
        <v>1575</v>
      </c>
      <c r="T170" s="529" t="str">
        <f t="shared" si="18"/>
        <v/>
      </c>
      <c r="U170" s="529" t="str">
        <f t="shared" si="19"/>
        <v>X</v>
      </c>
      <c r="V170" s="529" t="str">
        <f t="shared" si="20"/>
        <v/>
      </c>
      <c r="W170" s="529" t="str">
        <f t="shared" si="21"/>
        <v/>
      </c>
      <c r="X170" s="529" t="str">
        <f t="shared" si="22"/>
        <v/>
      </c>
      <c r="Y170" s="529" t="str">
        <f t="shared" si="23"/>
        <v/>
      </c>
    </row>
    <row r="171" spans="1:25" ht="25.05" x14ac:dyDescent="0.2">
      <c r="A171" s="253" t="s">
        <v>1041</v>
      </c>
      <c r="B171" s="253" t="s">
        <v>1595</v>
      </c>
      <c r="C171" s="253">
        <v>85</v>
      </c>
      <c r="D171" s="253" t="s">
        <v>1579</v>
      </c>
      <c r="E171" s="253" t="s">
        <v>1616</v>
      </c>
      <c r="F171" s="253" t="s">
        <v>1571</v>
      </c>
      <c r="G171" s="215" t="str" cm="1">
        <f t="array" aca="1" ref="G171" ca="1">IF(INDIRECT("'"&amp;B171&amp;"'!B"&amp;C171)=0,"",INDIRECT("'"&amp;B171&amp;"'!B"&amp;C171))</f>
        <v>x</v>
      </c>
      <c r="H171" s="215" t="str" cm="1">
        <f t="array" aca="1" ref="H171" ca="1">IF(INDIRECT("'"&amp;B171&amp;"'!C"&amp;C171)=0,"",INDIRECT("'"&amp;B171&amp;"'!C"&amp;C171))</f>
        <v>x</v>
      </c>
      <c r="I171" s="215" t="str" cm="1">
        <f t="array" aca="1" ref="I171" ca="1">IF(INDIRECT("'"&amp;B171&amp;"'!D"&amp;C171)=0,"",INDIRECT("'"&amp;B171&amp;"'!D"&amp;C171))</f>
        <v>x</v>
      </c>
      <c r="J171" s="215" t="str" cm="1">
        <f t="array" aca="1" ref="J171" ca="1">IF(INDIRECT("'"&amp;B171&amp;"'!E"&amp;C171)=0,"",INDIRECT("'"&amp;B171&amp;"'!E"&amp;C171))</f>
        <v>x</v>
      </c>
      <c r="K171" s="253" t="str" cm="1">
        <f t="array" aca="1" ref="K171" ca="1">IF(INDIRECT("'"&amp;B171&amp;"'!F"&amp;C171)=0,"N/A",INDIRECT("'"&amp;B171&amp;"'!F"&amp;C171))</f>
        <v>8.10.1</v>
      </c>
      <c r="L171" s="253" cm="1">
        <f t="array" aca="1" ref="L171" ca="1">IF(INDIRECT("'"&amp;B171&amp;"'!G"&amp;C171)=0,"N/A",INDIRECT("'"&amp;B171&amp;"'!G"&amp;C171))</f>
        <v>3</v>
      </c>
      <c r="M171" s="253" t="str" cm="1">
        <f t="array" aca="1" ref="M171" ca="1">IF(INDIRECT("'"&amp;B171&amp;"'!H"&amp;C171)=0,"N/A",INDIRECT("'"&amp;B171&amp;"'!H"&amp;C171))</f>
        <v>8.10.1 #3</v>
      </c>
      <c r="N171" s="221" t="str" cm="1">
        <f t="array" aca="1" ref="N171" ca="1">IF(INDIRECT("'"&amp;B171&amp;"'!I"&amp;C171)=0,"N/A",INDIRECT("'"&amp;B171&amp;"'!I"&amp;C171))</f>
        <v>มีการติดตามให้มีการแก้ไขช่องโหว่ภายในระยะเวลาที่กำหนดไว้ โดยนำเสนอความคืบหน้าของการดำเนินการต่อคณะกรรมการหรือผู้บริหารระดับสูงที่ได้รับมอบหมาย</v>
      </c>
      <c r="O171" s="533" t="str" cm="1">
        <f t="array" aca="1" ref="O171" ca="1">IF(INDIRECT("'"&amp;B171&amp;"'!N"&amp;C171)=0,"N/A",INDIRECT("'"&amp;B171&amp;"'!N"&amp;C171))</f>
        <v>Yes/Partial/No</v>
      </c>
      <c r="P171" s="527" t="str" cm="1">
        <f t="array" aca="1" ref="P171" ca="1">IF(INDIRECT("'"&amp;B171&amp;"'!L"&amp;C171)=0,"",INDIRECT("'"&amp;B171&amp;"'!L"&amp;C171))</f>
        <v/>
      </c>
      <c r="Q171" s="527" t="str">
        <f t="shared" ca="1" si="16"/>
        <v/>
      </c>
      <c r="R171" s="563" t="str">
        <f t="shared" ca="1" si="17"/>
        <v>Yes</v>
      </c>
      <c r="S171" s="528" t="s">
        <v>1575</v>
      </c>
      <c r="T171" s="529" t="str">
        <f t="shared" si="18"/>
        <v/>
      </c>
      <c r="U171" s="529" t="str">
        <f t="shared" si="19"/>
        <v>X</v>
      </c>
      <c r="V171" s="529" t="str">
        <f t="shared" si="20"/>
        <v/>
      </c>
      <c r="W171" s="529" t="str">
        <f t="shared" si="21"/>
        <v/>
      </c>
      <c r="X171" s="529" t="str">
        <f t="shared" si="22"/>
        <v/>
      </c>
      <c r="Y171" s="529" t="str">
        <f t="shared" si="23"/>
        <v/>
      </c>
    </row>
    <row r="172" spans="1:25" ht="37.6" x14ac:dyDescent="0.2">
      <c r="A172" s="253" t="s">
        <v>1043</v>
      </c>
      <c r="B172" s="253" t="s">
        <v>1595</v>
      </c>
      <c r="C172" s="253">
        <v>86</v>
      </c>
      <c r="D172" s="253" t="s">
        <v>1579</v>
      </c>
      <c r="E172" s="253" t="s">
        <v>1616</v>
      </c>
      <c r="F172" s="253" t="s">
        <v>1571</v>
      </c>
      <c r="G172" s="215" t="str" cm="1">
        <f t="array" aca="1" ref="G172" ca="1">IF(INDIRECT("'"&amp;B172&amp;"'!B"&amp;C172)=0,"",INDIRECT("'"&amp;B172&amp;"'!B"&amp;C172))</f>
        <v>x</v>
      </c>
      <c r="H172" s="215" t="str" cm="1">
        <f t="array" aca="1" ref="H172" ca="1">IF(INDIRECT("'"&amp;B172&amp;"'!C"&amp;C172)=0,"",INDIRECT("'"&amp;B172&amp;"'!C"&amp;C172))</f>
        <v>x</v>
      </c>
      <c r="I172" s="215" t="str" cm="1">
        <f t="array" aca="1" ref="I172" ca="1">IF(INDIRECT("'"&amp;B172&amp;"'!D"&amp;C172)=0,"",INDIRECT("'"&amp;B172&amp;"'!D"&amp;C172))</f>
        <v>x</v>
      </c>
      <c r="J172" s="215" t="str" cm="1">
        <f t="array" aca="1" ref="J172" ca="1">IF(INDIRECT("'"&amp;B172&amp;"'!E"&amp;C172)=0,"",INDIRECT("'"&amp;B172&amp;"'!E"&amp;C172))</f>
        <v>x</v>
      </c>
      <c r="K172" s="253" t="str" cm="1">
        <f t="array" aca="1" ref="K172" ca="1">IF(INDIRECT("'"&amp;B172&amp;"'!F"&amp;C172)=0,"N/A",INDIRECT("'"&amp;B172&amp;"'!F"&amp;C172))</f>
        <v>8.10.1</v>
      </c>
      <c r="L172" s="253" cm="1">
        <f t="array" aca="1" ref="L172" ca="1">IF(INDIRECT("'"&amp;B172&amp;"'!G"&amp;C172)=0,"N/A",INDIRECT("'"&amp;B172&amp;"'!G"&amp;C172))</f>
        <v>4</v>
      </c>
      <c r="M172" s="253" t="str" cm="1">
        <f t="array" aca="1" ref="M172" ca="1">IF(INDIRECT("'"&amp;B172&amp;"'!H"&amp;C172)=0,"N/A",INDIRECT("'"&amp;B172&amp;"'!H"&amp;C172))</f>
        <v>8.10.1 #4</v>
      </c>
      <c r="N172" s="221" t="str" cm="1">
        <f t="array" aca="1" ref="N172" ca="1">IF(INDIRECT("'"&amp;B172&amp;"'!I"&amp;C172)=0,"N/A",INDIRECT("'"&amp;B172&amp;"'!I"&amp;C172))</f>
        <v xml:space="preserve">มีการรวบรวมและวิเคราะห์ช่องโหว่ทางเทคนิคที่ตรวจพบ เพื่อช่วยในการกำหนดมาตรการรักษาความมั่นคงปลอดภัยของระบบ IT ที่จะมีการพัฒนาในอนาคต
</v>
      </c>
      <c r="O172" s="533" t="str" cm="1">
        <f t="array" aca="1" ref="O172" ca="1">IF(INDIRECT("'"&amp;B172&amp;"'!N"&amp;C172)=0,"N/A",INDIRECT("'"&amp;B172&amp;"'!N"&amp;C172))</f>
        <v>Yes/Partial/No</v>
      </c>
      <c r="P172" s="527" t="str" cm="1">
        <f t="array" aca="1" ref="P172" ca="1">IF(INDIRECT("'"&amp;B172&amp;"'!L"&amp;C172)=0,"",INDIRECT("'"&amp;B172&amp;"'!L"&amp;C172))</f>
        <v/>
      </c>
      <c r="Q172" s="527" t="str">
        <f t="shared" ca="1" si="16"/>
        <v/>
      </c>
      <c r="R172" s="563" t="str">
        <f t="shared" ca="1" si="17"/>
        <v>Yes</v>
      </c>
      <c r="S172" s="528" t="s">
        <v>1580</v>
      </c>
      <c r="T172" s="529" t="str">
        <f t="shared" si="18"/>
        <v/>
      </c>
      <c r="U172" s="529" t="str">
        <f t="shared" si="19"/>
        <v/>
      </c>
      <c r="V172" s="529" t="str">
        <f t="shared" si="20"/>
        <v>X</v>
      </c>
      <c r="W172" s="529" t="str">
        <f t="shared" si="21"/>
        <v/>
      </c>
      <c r="X172" s="529" t="str">
        <f t="shared" si="22"/>
        <v/>
      </c>
      <c r="Y172" s="529" t="str">
        <f t="shared" si="23"/>
        <v/>
      </c>
    </row>
    <row r="173" spans="1:25" ht="25.05" x14ac:dyDescent="0.2">
      <c r="A173" s="253" t="s">
        <v>1047</v>
      </c>
      <c r="B173" s="253" t="s">
        <v>1595</v>
      </c>
      <c r="C173" s="253">
        <v>87</v>
      </c>
      <c r="D173" s="253" t="s">
        <v>1579</v>
      </c>
      <c r="E173" s="253" t="s">
        <v>1616</v>
      </c>
      <c r="F173" s="253" t="s">
        <v>1571</v>
      </c>
      <c r="G173" s="215" t="str" cm="1">
        <f t="array" aca="1" ref="G173" ca="1">IF(INDIRECT("'"&amp;B173&amp;"'!B"&amp;C173)=0,"",INDIRECT("'"&amp;B173&amp;"'!B"&amp;C173))</f>
        <v>x</v>
      </c>
      <c r="H173" s="215" t="str" cm="1">
        <f t="array" aca="1" ref="H173" ca="1">IF(INDIRECT("'"&amp;B173&amp;"'!C"&amp;C173)=0,"",INDIRECT("'"&amp;B173&amp;"'!C"&amp;C173))</f>
        <v>x</v>
      </c>
      <c r="I173" s="215" t="str" cm="1">
        <f t="array" aca="1" ref="I173" ca="1">IF(INDIRECT("'"&amp;B173&amp;"'!D"&amp;C173)=0,"",INDIRECT("'"&amp;B173&amp;"'!D"&amp;C173))</f>
        <v>x</v>
      </c>
      <c r="J173" s="215" t="str" cm="1">
        <f t="array" aca="1" ref="J173" ca="1">IF(INDIRECT("'"&amp;B173&amp;"'!E"&amp;C173)=0,"",INDIRECT("'"&amp;B173&amp;"'!E"&amp;C173))</f>
        <v>x</v>
      </c>
      <c r="K173" s="253" t="str" cm="1">
        <f t="array" aca="1" ref="K173" ca="1">IF(INDIRECT("'"&amp;B173&amp;"'!F"&amp;C173)=0,"N/A",INDIRECT("'"&amp;B173&amp;"'!F"&amp;C173))</f>
        <v>8.10.2</v>
      </c>
      <c r="L173" s="253" cm="1">
        <f t="array" aca="1" ref="L173" ca="1">IF(INDIRECT("'"&amp;B173&amp;"'!G"&amp;C173)=0,"N/A",INDIRECT("'"&amp;B173&amp;"'!G"&amp;C173))</f>
        <v>1</v>
      </c>
      <c r="M173" s="253" t="str" cm="1">
        <f t="array" aca="1" ref="M173" ca="1">IF(INDIRECT("'"&amp;B173&amp;"'!H"&amp;C173)=0,"N/A",INDIRECT("'"&amp;B173&amp;"'!H"&amp;C173))</f>
        <v>8.10.2 #1</v>
      </c>
      <c r="N173" s="221" t="str" cm="1">
        <f t="array" aca="1" ref="N173" ca="1">IF(INDIRECT("'"&amp;B173&amp;"'!I"&amp;C173)=0,"N/A",INDIRECT("'"&amp;B173&amp;"'!I"&amp;C173))</f>
        <v>มีการกำหนดให้ผู้ที่ทดสอบการเจาะระบบ เป็นผู้มีความรู้ความสามารถและเชี่ยวชาญในการทดสอบการเจาะระบบ โดยเป็นอิสระจากหน่วยงานเจ้าของระบบ และเป็นอิสระจากการพัฒนาระบบดังกล่าว</v>
      </c>
      <c r="O173" s="533" t="str" cm="1">
        <f t="array" aca="1" ref="O173" ca="1">IF(INDIRECT("'"&amp;B173&amp;"'!N"&amp;C173)=0,"N/A",INDIRECT("'"&amp;B173&amp;"'!N"&amp;C173))</f>
        <v>Yes/Partial/No</v>
      </c>
      <c r="P173" s="527" t="str" cm="1">
        <f t="array" aca="1" ref="P173" ca="1">IF(INDIRECT("'"&amp;B173&amp;"'!L"&amp;C173)=0,"",INDIRECT("'"&amp;B173&amp;"'!L"&amp;C173))</f>
        <v/>
      </c>
      <c r="Q173" s="527" t="str">
        <f t="shared" ca="1" si="16"/>
        <v/>
      </c>
      <c r="R173" s="563" t="str">
        <f t="shared" ca="1" si="17"/>
        <v>Yes</v>
      </c>
      <c r="S173" s="528" t="s">
        <v>1572</v>
      </c>
      <c r="T173" s="529" t="str">
        <f t="shared" si="18"/>
        <v>X</v>
      </c>
      <c r="U173" s="529" t="str">
        <f t="shared" si="19"/>
        <v/>
      </c>
      <c r="V173" s="529" t="str">
        <f t="shared" si="20"/>
        <v/>
      </c>
      <c r="W173" s="529" t="str">
        <f t="shared" si="21"/>
        <v/>
      </c>
      <c r="X173" s="529" t="str">
        <f t="shared" si="22"/>
        <v/>
      </c>
      <c r="Y173" s="529" t="str">
        <f t="shared" si="23"/>
        <v/>
      </c>
    </row>
    <row r="174" spans="1:25" ht="87.65" x14ac:dyDescent="0.2">
      <c r="A174" s="253" t="s">
        <v>1052</v>
      </c>
      <c r="B174" s="253" t="s">
        <v>1595</v>
      </c>
      <c r="C174" s="253">
        <v>88</v>
      </c>
      <c r="D174" s="253" t="s">
        <v>1579</v>
      </c>
      <c r="E174" s="253" t="s">
        <v>1616</v>
      </c>
      <c r="F174" s="253" t="s">
        <v>1574</v>
      </c>
      <c r="G174" s="215" t="str" cm="1">
        <f t="array" aca="1" ref="G174" ca="1">IF(INDIRECT("'"&amp;B174&amp;"'!B"&amp;C174)=0,"",INDIRECT("'"&amp;B174&amp;"'!B"&amp;C174))</f>
        <v>x</v>
      </c>
      <c r="H174" s="215" t="str" cm="1">
        <f t="array" aca="1" ref="H174" ca="1">IF(INDIRECT("'"&amp;B174&amp;"'!C"&amp;C174)=0,"",INDIRECT("'"&amp;B174&amp;"'!C"&amp;C174))</f>
        <v/>
      </c>
      <c r="I174" s="215" t="str" cm="1">
        <f t="array" aca="1" ref="I174" ca="1">IF(INDIRECT("'"&amp;B174&amp;"'!D"&amp;C174)=0,"",INDIRECT("'"&amp;B174&amp;"'!D"&amp;C174))</f>
        <v/>
      </c>
      <c r="J174" s="215" t="str" cm="1">
        <f t="array" aca="1" ref="J174" ca="1">IF(INDIRECT("'"&amp;B174&amp;"'!E"&amp;C174)=0,"",INDIRECT("'"&amp;B174&amp;"'!E"&amp;C174))</f>
        <v/>
      </c>
      <c r="K174" s="253" t="str" cm="1">
        <f t="array" aca="1" ref="K174" ca="1">IF(INDIRECT("'"&amp;B174&amp;"'!F"&amp;C174)=0,"N/A",INDIRECT("'"&amp;B174&amp;"'!F"&amp;C174))</f>
        <v>8.10.2</v>
      </c>
      <c r="L174" s="253" cm="1">
        <f t="array" aca="1" ref="L174" ca="1">IF(INDIRECT("'"&amp;B174&amp;"'!G"&amp;C174)=0,"N/A",INDIRECT("'"&amp;B174&amp;"'!G"&amp;C174))</f>
        <v>2</v>
      </c>
      <c r="M174" s="253" t="str" cm="1">
        <f t="array" aca="1" ref="M174" ca="1">IF(INDIRECT("'"&amp;B174&amp;"'!H"&amp;C174)=0,"N/A",INDIRECT("'"&amp;B174&amp;"'!H"&amp;C174))</f>
        <v>8.10.2 #2</v>
      </c>
      <c r="N174" s="221" t="str" cm="1">
        <f t="array" aca="1" ref="N174" ca="1">IF(INDIRECT("'"&amp;B174&amp;"'!I"&amp;C174)=0,"N/A",INDIRECT("'"&amp;B174&amp;"'!I"&amp;C174))</f>
        <v>มีการกำหนดคุณสมบัติให้ผู้ทดสอบเจาะระบบ (penetration tester) ที่ทำการทดสอบการเจาะระบบ IT ที่มีนัยสำคัญได้รับการรับรองและมีประกาศนียบัตร (accreditations and certifications) ที่เป็นที่ยอมรับในอุตสาหกรรมเช่น 
    (1) ประกาศนียบัตรการรับรองจากสถาบัน Council for Registered Ethical Security Testers (CREST)
    (2) ประกาศนียบัตรการรับรองจากสถาบัน Offensive Security
    (3) ประกาศนียบัตรการรับรองจากสถาบัน Global Information Assurance Certification (GIAC)
ทั้งนี้ อาจมีการพิจารณาประกาศนียบัตรการรับรองอื่นที่เทียบเคียงกับตัวอย่างได้</v>
      </c>
      <c r="O174" s="533" t="str" cm="1">
        <f t="array" aca="1" ref="O174" ca="1">IF(INDIRECT("'"&amp;B174&amp;"'!N"&amp;C174)=0,"N/A",INDIRECT("'"&amp;B174&amp;"'!N"&amp;C174))</f>
        <v>Yes/Partial/No</v>
      </c>
      <c r="P174" s="527" t="str" cm="1">
        <f t="array" aca="1" ref="P174" ca="1">IF(INDIRECT("'"&amp;B174&amp;"'!L"&amp;C174)=0,"",INDIRECT("'"&amp;B174&amp;"'!L"&amp;C174))</f>
        <v/>
      </c>
      <c r="Q174" s="527" t="str">
        <f t="shared" ca="1" si="16"/>
        <v/>
      </c>
      <c r="R174" s="563" t="str">
        <f t="shared" ca="1" si="17"/>
        <v>Yes</v>
      </c>
      <c r="S174" s="528" t="s">
        <v>1572</v>
      </c>
      <c r="T174" s="529" t="str">
        <f t="shared" si="18"/>
        <v>X</v>
      </c>
      <c r="U174" s="529" t="str">
        <f t="shared" si="19"/>
        <v/>
      </c>
      <c r="V174" s="529" t="str">
        <f t="shared" si="20"/>
        <v/>
      </c>
      <c r="W174" s="529" t="str">
        <f t="shared" si="21"/>
        <v/>
      </c>
      <c r="X174" s="529" t="str">
        <f t="shared" si="22"/>
        <v/>
      </c>
      <c r="Y174" s="529" t="str">
        <f t="shared" si="23"/>
        <v/>
      </c>
    </row>
    <row r="175" spans="1:25" ht="25.05" x14ac:dyDescent="0.2">
      <c r="A175" s="253" t="s">
        <v>1056</v>
      </c>
      <c r="B175" s="253" t="s">
        <v>1595</v>
      </c>
      <c r="C175" s="253">
        <v>89</v>
      </c>
      <c r="D175" s="253" t="s">
        <v>1579</v>
      </c>
      <c r="E175" s="253" t="s">
        <v>1616</v>
      </c>
      <c r="F175" s="253" t="s">
        <v>1571</v>
      </c>
      <c r="G175" s="215" t="str" cm="1">
        <f t="array" aca="1" ref="G175" ca="1">IF(INDIRECT("'"&amp;B175&amp;"'!B"&amp;C175)=0,"",INDIRECT("'"&amp;B175&amp;"'!B"&amp;C175))</f>
        <v>x</v>
      </c>
      <c r="H175" s="215" t="str" cm="1">
        <f t="array" aca="1" ref="H175" ca="1">IF(INDIRECT("'"&amp;B175&amp;"'!C"&amp;C175)=0,"",INDIRECT("'"&amp;B175&amp;"'!C"&amp;C175))</f>
        <v>x</v>
      </c>
      <c r="I175" s="215" t="str" cm="1">
        <f t="array" aca="1" ref="I175" ca="1">IF(INDIRECT("'"&amp;B175&amp;"'!D"&amp;C175)=0,"",INDIRECT("'"&amp;B175&amp;"'!D"&amp;C175))</f>
        <v>x</v>
      </c>
      <c r="J175" s="215" t="str" cm="1">
        <f t="array" aca="1" ref="J175" ca="1">IF(INDIRECT("'"&amp;B175&amp;"'!E"&amp;C175)=0,"",INDIRECT("'"&amp;B175&amp;"'!E"&amp;C175))</f>
        <v>x</v>
      </c>
      <c r="K175" s="253" t="str" cm="1">
        <f t="array" aca="1" ref="K175" ca="1">IF(INDIRECT("'"&amp;B175&amp;"'!F"&amp;C175)=0,"N/A",INDIRECT("'"&amp;B175&amp;"'!F"&amp;C175))</f>
        <v>8.10.3</v>
      </c>
      <c r="L175" s="253" t="str" cm="1">
        <f t="array" aca="1" ref="L175" ca="1">IF(INDIRECT("'"&amp;B175&amp;"'!G"&amp;C175)=0,"N/A",INDIRECT("'"&amp;B175&amp;"'!G"&amp;C175))</f>
        <v>N/A</v>
      </c>
      <c r="M175" s="253" t="str" cm="1">
        <f t="array" aca="1" ref="M175" ca="1">IF(INDIRECT("'"&amp;B175&amp;"'!H"&amp;C175)=0,"N/A",INDIRECT("'"&amp;B175&amp;"'!H"&amp;C175))</f>
        <v>8.10.3</v>
      </c>
      <c r="N175" s="221" t="str" cm="1">
        <f t="array" aca="1" ref="N175" ca="1">IF(INDIRECT("'"&amp;B175&amp;"'!I"&amp;C175)=0,"N/A",INDIRECT("'"&amp;B175&amp;"'!I"&amp;C175))</f>
        <v>มีการดำเนินการแก้ไข และป้องกันภัยคุกคามทางไซเบอร์ที่อาจเกิดขึ้นอย่างทันท่วงที เพื่อขจัดความเสี่ยงจากช่องโหว่ดังกล่าว ในกรณีที่มีการตรวจพบช่องโหว่</v>
      </c>
      <c r="O175" s="533" t="str" cm="1">
        <f t="array" aca="1" ref="O175" ca="1">IF(INDIRECT("'"&amp;B175&amp;"'!N"&amp;C175)=0,"N/A",INDIRECT("'"&amp;B175&amp;"'!N"&amp;C175))</f>
        <v>Yes/Partial/No</v>
      </c>
      <c r="P175" s="527" t="str" cm="1">
        <f t="array" aca="1" ref="P175" ca="1">IF(INDIRECT("'"&amp;B175&amp;"'!L"&amp;C175)=0,"",INDIRECT("'"&amp;B175&amp;"'!L"&amp;C175))</f>
        <v/>
      </c>
      <c r="Q175" s="527" t="str">
        <f t="shared" ca="1" si="16"/>
        <v/>
      </c>
      <c r="R175" s="563" t="str">
        <f t="shared" ca="1" si="17"/>
        <v>Yes</v>
      </c>
      <c r="S175" s="528" t="s">
        <v>1585</v>
      </c>
      <c r="T175" s="529" t="str">
        <f t="shared" si="18"/>
        <v/>
      </c>
      <c r="U175" s="529" t="str">
        <f t="shared" si="19"/>
        <v>X</v>
      </c>
      <c r="V175" s="529" t="str">
        <f t="shared" si="20"/>
        <v/>
      </c>
      <c r="W175" s="529" t="str">
        <f t="shared" si="21"/>
        <v/>
      </c>
      <c r="X175" s="529" t="str">
        <f t="shared" si="22"/>
        <v/>
      </c>
      <c r="Y175" s="529" t="str">
        <f t="shared" si="23"/>
        <v/>
      </c>
    </row>
    <row r="176" spans="1:25" ht="62.65" x14ac:dyDescent="0.2">
      <c r="A176" s="253" t="s">
        <v>1060</v>
      </c>
      <c r="B176" s="253" t="s">
        <v>1595</v>
      </c>
      <c r="C176" s="253">
        <v>90</v>
      </c>
      <c r="D176" s="253" t="s">
        <v>1579</v>
      </c>
      <c r="E176" s="253" t="s">
        <v>1616</v>
      </c>
      <c r="F176" s="253" t="s">
        <v>1571</v>
      </c>
      <c r="G176" s="215" t="str" cm="1">
        <f t="array" aca="1" ref="G176" ca="1">IF(INDIRECT("'"&amp;B176&amp;"'!B"&amp;C176)=0,"",INDIRECT("'"&amp;B176&amp;"'!B"&amp;C176))</f>
        <v>x</v>
      </c>
      <c r="H176" s="215" t="str" cm="1">
        <f t="array" aca="1" ref="H176" ca="1">IF(INDIRECT("'"&amp;B176&amp;"'!C"&amp;C176)=0,"",INDIRECT("'"&amp;B176&amp;"'!C"&amp;C176))</f>
        <v>x</v>
      </c>
      <c r="I176" s="215" t="str" cm="1">
        <f t="array" aca="1" ref="I176" ca="1">IF(INDIRECT("'"&amp;B176&amp;"'!D"&amp;C176)=0,"",INDIRECT("'"&amp;B176&amp;"'!D"&amp;C176))</f>
        <v>x</v>
      </c>
      <c r="J176" s="215" t="str" cm="1">
        <f t="array" aca="1" ref="J176" ca="1">IF(INDIRECT("'"&amp;B176&amp;"'!E"&amp;C176)=0,"",INDIRECT("'"&amp;B176&amp;"'!E"&amp;C176))</f>
        <v>x</v>
      </c>
      <c r="K176" s="253" t="str" cm="1">
        <f t="array" aca="1" ref="K176" ca="1">IF(INDIRECT("'"&amp;B176&amp;"'!F"&amp;C176)=0,"N/A",INDIRECT("'"&amp;B176&amp;"'!F"&amp;C176))</f>
        <v>8.10.4</v>
      </c>
      <c r="L176" s="253" cm="1">
        <f t="array" aca="1" ref="L176" ca="1">IF(INDIRECT("'"&amp;B176&amp;"'!G"&amp;C176)=0,"N/A",INDIRECT("'"&amp;B176&amp;"'!G"&amp;C176))</f>
        <v>1</v>
      </c>
      <c r="M176" s="253" t="str" cm="1">
        <f t="array" aca="1" ref="M176" ca="1">IF(INDIRECT("'"&amp;B176&amp;"'!H"&amp;C176)=0,"N/A",INDIRECT("'"&amp;B176&amp;"'!H"&amp;C176))</f>
        <v>8.10.4 #1</v>
      </c>
      <c r="N176" s="221" t="str" cm="1">
        <f t="array" aca="1" ref="N176" ca="1">IF(INDIRECT("'"&amp;B176&amp;"'!I"&amp;C176)=0,"N/A",INDIRECT("'"&amp;B176&amp;"'!I"&amp;C176))</f>
        <v>มีการจัดเก็บรายงานการดำเนินการการทดสอบเจาะระบบ (penetration test) เป็นระยะเวลาไม่น้อยกว่า 2 ปีนับแต่วันที่จัดทำเอกสารนั้น โดยต้องจัดเก็บไว้ในลักษณะที่พร้อมให้สำนักงานสามารถเรียกดูและตรวจสอบได้โดยไม่ชักช้า ครอบคลุมรายละเอียดที่สำคัญ เช่น ขอบเขตการทดสอบ ช่วงเวลาที่ทดสอบ ผู้ทำการทดสอบ วิธีการและขั้นตอนดำเนินการทดสอบเจาะระบบ และช่องโหว่ที่ตรวจพบ รวมถึงแผนการปรับปรุงแก้ไขช่องโหว่ตามระดับความเสี่ยง เป็นต้น</v>
      </c>
      <c r="O176" s="533" t="str" cm="1">
        <f t="array" aca="1" ref="O176" ca="1">IF(INDIRECT("'"&amp;B176&amp;"'!N"&amp;C176)=0,"N/A",INDIRECT("'"&amp;B176&amp;"'!N"&amp;C176))</f>
        <v>Yes/Partial/No</v>
      </c>
      <c r="P176" s="527" t="str" cm="1">
        <f t="array" aca="1" ref="P176" ca="1">IF(INDIRECT("'"&amp;B176&amp;"'!L"&amp;C176)=0,"",INDIRECT("'"&amp;B176&amp;"'!L"&amp;C176))</f>
        <v/>
      </c>
      <c r="Q176" s="527" t="str">
        <f t="shared" ca="1" si="16"/>
        <v/>
      </c>
      <c r="R176" s="563" t="str">
        <f t="shared" ca="1" si="17"/>
        <v>Yes</v>
      </c>
      <c r="S176" s="528" t="s">
        <v>1585</v>
      </c>
      <c r="T176" s="529" t="str">
        <f t="shared" si="18"/>
        <v/>
      </c>
      <c r="U176" s="529" t="str">
        <f t="shared" si="19"/>
        <v>X</v>
      </c>
      <c r="V176" s="529" t="str">
        <f t="shared" si="20"/>
        <v/>
      </c>
      <c r="W176" s="529" t="str">
        <f t="shared" si="21"/>
        <v/>
      </c>
      <c r="X176" s="529" t="str">
        <f t="shared" si="22"/>
        <v/>
      </c>
      <c r="Y176" s="529" t="str">
        <f t="shared" si="23"/>
        <v/>
      </c>
    </row>
    <row r="177" spans="1:25" ht="25.05" x14ac:dyDescent="0.2">
      <c r="A177" s="253" t="s">
        <v>1065</v>
      </c>
      <c r="B177" s="253" t="s">
        <v>1595</v>
      </c>
      <c r="C177" s="253">
        <v>91</v>
      </c>
      <c r="D177" s="253" t="s">
        <v>1579</v>
      </c>
      <c r="E177" s="253" t="s">
        <v>1616</v>
      </c>
      <c r="F177" s="253" t="s">
        <v>1571</v>
      </c>
      <c r="G177" s="215" t="str" cm="1">
        <f t="array" aca="1" ref="G177" ca="1">IF(INDIRECT("'"&amp;B177&amp;"'!B"&amp;C177)=0,"",INDIRECT("'"&amp;B177&amp;"'!B"&amp;C177))</f>
        <v>x</v>
      </c>
      <c r="H177" s="215" t="str" cm="1">
        <f t="array" aca="1" ref="H177" ca="1">IF(INDIRECT("'"&amp;B177&amp;"'!C"&amp;C177)=0,"",INDIRECT("'"&amp;B177&amp;"'!C"&amp;C177))</f>
        <v>x</v>
      </c>
      <c r="I177" s="215" t="str" cm="1">
        <f t="array" aca="1" ref="I177" ca="1">IF(INDIRECT("'"&amp;B177&amp;"'!D"&amp;C177)=0,"",INDIRECT("'"&amp;B177&amp;"'!D"&amp;C177))</f>
        <v>x</v>
      </c>
      <c r="J177" s="215" t="str" cm="1">
        <f t="array" aca="1" ref="J177" ca="1">IF(INDIRECT("'"&amp;B177&amp;"'!E"&amp;C177)=0,"",INDIRECT("'"&amp;B177&amp;"'!E"&amp;C177))</f>
        <v>x</v>
      </c>
      <c r="K177" s="253" t="str" cm="1">
        <f t="array" aca="1" ref="K177" ca="1">IF(INDIRECT("'"&amp;B177&amp;"'!F"&amp;C177)=0,"N/A",INDIRECT("'"&amp;B177&amp;"'!F"&amp;C177))</f>
        <v>8.10.5</v>
      </c>
      <c r="L177" s="253" t="str" cm="1">
        <f t="array" aca="1" ref="L177" ca="1">IF(INDIRECT("'"&amp;B177&amp;"'!G"&amp;C177)=0,"N/A",INDIRECT("'"&amp;B177&amp;"'!G"&amp;C177))</f>
        <v>N/A</v>
      </c>
      <c r="M177" s="253" t="str" cm="1">
        <f t="array" aca="1" ref="M177" ca="1">IF(INDIRECT("'"&amp;B177&amp;"'!H"&amp;C177)=0,"N/A",INDIRECT("'"&amp;B177&amp;"'!H"&amp;C177))</f>
        <v>8.10.5</v>
      </c>
      <c r="N177" s="221" t="str" cm="1">
        <f t="array" aca="1" ref="N177" ca="1">IF(INDIRECT("'"&amp;B177&amp;"'!I"&amp;C177)=0,"N/A",INDIRECT("'"&amp;B177&amp;"'!I"&amp;C177))</f>
        <v>มีการนำส่งรายงานผลการเจาะระบบโดยไม่ชักช้าเมื่อได้รับการแจ้งจากสำนักงาน ตามวิธีการที่กำหนดไว้บนเว็บไซต์ของสำนักงาน</v>
      </c>
      <c r="O177" s="533" t="str" cm="1">
        <f t="array" aca="1" ref="O177" ca="1">IF(INDIRECT("'"&amp;B177&amp;"'!N"&amp;C177)=0,"N/A",INDIRECT("'"&amp;B177&amp;"'!N"&amp;C177))</f>
        <v>N/A</v>
      </c>
      <c r="P177" s="527" t="str" cm="1">
        <f t="array" aca="1" ref="P177" ca="1">IF(INDIRECT("'"&amp;B177&amp;"'!L"&amp;C177)=0,"",INDIRECT("'"&amp;B177&amp;"'!L"&amp;C177))</f>
        <v>N/A</v>
      </c>
      <c r="Q177" s="527" t="str">
        <f t="shared" ca="1" si="16"/>
        <v>N/A</v>
      </c>
      <c r="R177" s="563" t="str">
        <f t="shared" ca="1" si="17"/>
        <v>Yes</v>
      </c>
      <c r="S177" s="528" t="s">
        <v>1572</v>
      </c>
      <c r="T177" s="529" t="str">
        <f t="shared" si="18"/>
        <v>X</v>
      </c>
      <c r="U177" s="529" t="str">
        <f t="shared" si="19"/>
        <v/>
      </c>
      <c r="V177" s="529" t="str">
        <f t="shared" si="20"/>
        <v/>
      </c>
      <c r="W177" s="529" t="str">
        <f t="shared" si="21"/>
        <v/>
      </c>
      <c r="X177" s="529" t="str">
        <f t="shared" si="22"/>
        <v/>
      </c>
      <c r="Y177" s="529" t="str">
        <f t="shared" si="23"/>
        <v/>
      </c>
    </row>
    <row r="178" spans="1:25" ht="100.2" x14ac:dyDescent="0.2">
      <c r="A178" s="253" t="s">
        <v>1069</v>
      </c>
      <c r="B178" s="253" t="s">
        <v>1595</v>
      </c>
      <c r="C178" s="253">
        <v>93</v>
      </c>
      <c r="D178" s="253" t="s">
        <v>1579</v>
      </c>
      <c r="E178" s="253" t="s">
        <v>1617</v>
      </c>
      <c r="F178" s="253" t="s">
        <v>1571</v>
      </c>
      <c r="G178" s="215" t="str" cm="1">
        <f t="array" aca="1" ref="G178" ca="1">IF(INDIRECT("'"&amp;B178&amp;"'!B"&amp;C178)=0,"",INDIRECT("'"&amp;B178&amp;"'!B"&amp;C178))</f>
        <v>x</v>
      </c>
      <c r="H178" s="215" t="str" cm="1">
        <f t="array" aca="1" ref="H178" ca="1">IF(INDIRECT("'"&amp;B178&amp;"'!C"&amp;C178)=0,"",INDIRECT("'"&amp;B178&amp;"'!C"&amp;C178))</f>
        <v>x</v>
      </c>
      <c r="I178" s="215" t="str" cm="1">
        <f t="array" aca="1" ref="I178" ca="1">IF(INDIRECT("'"&amp;B178&amp;"'!D"&amp;C178)=0,"",INDIRECT("'"&amp;B178&amp;"'!D"&amp;C178))</f>
        <v>x</v>
      </c>
      <c r="J178" s="215" t="str" cm="1">
        <f t="array" aca="1" ref="J178" ca="1">IF(INDIRECT("'"&amp;B178&amp;"'!E"&amp;C178)=0,"",INDIRECT("'"&amp;B178&amp;"'!E"&amp;C178))</f>
        <v>x</v>
      </c>
      <c r="K178" s="253" t="str" cm="1">
        <f t="array" aca="1" ref="K178" ca="1">IF(INDIRECT("'"&amp;B178&amp;"'!F"&amp;C178)=0,"N/A",INDIRECT("'"&amp;B178&amp;"'!F"&amp;C178))</f>
        <v>8.11</v>
      </c>
      <c r="L178" s="253" cm="1">
        <f t="array" aca="1" ref="L178" ca="1">IF(INDIRECT("'"&amp;B178&amp;"'!G"&amp;C178)=0,"N/A",INDIRECT("'"&amp;B178&amp;"'!G"&amp;C178))</f>
        <v>1</v>
      </c>
      <c r="M178" s="253" t="str" cm="1">
        <f t="array" aca="1" ref="M178" ca="1">IF(INDIRECT("'"&amp;B178&amp;"'!H"&amp;C178)=0,"N/A",INDIRECT("'"&amp;B178&amp;"'!H"&amp;C178))</f>
        <v>8.11 #1</v>
      </c>
      <c r="N178" s="221" t="str" cm="1">
        <f t="array" aca="1" ref="N178" ca="1">IF(INDIRECT("'"&amp;B178&amp;"'!I"&amp;C178)=0,"N/A",INDIRECT("'"&amp;B178&amp;"'!I"&amp;C178))</f>
        <v>มีการกำหนดมาตรฐานและระเบียบวิธีปฏิบัติในการบริหารจัดการโปรแกรมแก้ไขช่องโหว่ (patch) ที่ครอบคลุมการดำเนินการอย่างน้อย ดังนี้
    (1) การประเมินความเสี่ยงและความจำเป็นในการติดตั้ง patch 
    (2) การกำหนดกรอบระยะเวลาการติดตั้ง patch โดยคำนึงถึงความจำเป็นและความเสี่ยงจากการถูกโจมตีจากช่องโหว่
    (3) การตรวจสอบความถูกต้องและการทดสอบ patch ก่อนการดำเนินการติดตั้งบนระบบที่ให้บริการจริง เพื่อป้องกันผลกระทบที่ไม่พึงประสงค์จากการติดตั้ง patch ทั้งนี้ ในกรณีที่มีข้อจำกัดในการทดสอบ patch ผู้ประกอบธุรกิจ อาจพิจารณาการควบคุมอื่น ๆ ทดแทน</v>
      </c>
      <c r="O178" s="533" t="str" cm="1">
        <f t="array" aca="1" ref="O178" ca="1">IF(INDIRECT("'"&amp;B178&amp;"'!N"&amp;C178)=0,"N/A",INDIRECT("'"&amp;B178&amp;"'!N"&amp;C178))</f>
        <v>Yes/Partial/No</v>
      </c>
      <c r="P178" s="527" t="str" cm="1">
        <f t="array" aca="1" ref="P178" ca="1">IF(INDIRECT("'"&amp;B178&amp;"'!L"&amp;C178)=0,"",INDIRECT("'"&amp;B178&amp;"'!L"&amp;C178))</f>
        <v/>
      </c>
      <c r="Q178" s="527" t="str">
        <f t="shared" ca="1" si="16"/>
        <v/>
      </c>
      <c r="R178" s="563" t="str">
        <f t="shared" ca="1" si="17"/>
        <v>Yes</v>
      </c>
      <c r="S178" s="528" t="s">
        <v>1572</v>
      </c>
      <c r="T178" s="529" t="str">
        <f t="shared" si="18"/>
        <v>X</v>
      </c>
      <c r="U178" s="529" t="str">
        <f t="shared" si="19"/>
        <v/>
      </c>
      <c r="V178" s="529" t="str">
        <f t="shared" si="20"/>
        <v/>
      </c>
      <c r="W178" s="529" t="str">
        <f t="shared" si="21"/>
        <v/>
      </c>
      <c r="X178" s="529" t="str">
        <f t="shared" si="22"/>
        <v/>
      </c>
      <c r="Y178" s="529" t="str">
        <f t="shared" si="23"/>
        <v/>
      </c>
    </row>
    <row r="179" spans="1:25" ht="62.65" x14ac:dyDescent="0.2">
      <c r="A179" s="253" t="s">
        <v>1074</v>
      </c>
      <c r="B179" s="253" t="s">
        <v>1595</v>
      </c>
      <c r="C179" s="253">
        <v>94</v>
      </c>
      <c r="D179" s="253" t="s">
        <v>1579</v>
      </c>
      <c r="E179" s="253" t="s">
        <v>1617</v>
      </c>
      <c r="F179" s="253" t="s">
        <v>1571</v>
      </c>
      <c r="G179" s="215" t="str" cm="1">
        <f t="array" aca="1" ref="G179" ca="1">IF(INDIRECT("'"&amp;B179&amp;"'!B"&amp;C179)=0,"",INDIRECT("'"&amp;B179&amp;"'!B"&amp;C179))</f>
        <v>x</v>
      </c>
      <c r="H179" s="215" t="str" cm="1">
        <f t="array" aca="1" ref="H179" ca="1">IF(INDIRECT("'"&amp;B179&amp;"'!C"&amp;C179)=0,"",INDIRECT("'"&amp;B179&amp;"'!C"&amp;C179))</f>
        <v>x</v>
      </c>
      <c r="I179" s="215" t="str" cm="1">
        <f t="array" aca="1" ref="I179" ca="1">IF(INDIRECT("'"&amp;B179&amp;"'!D"&amp;C179)=0,"",INDIRECT("'"&amp;B179&amp;"'!D"&amp;C179))</f>
        <v>x</v>
      </c>
      <c r="J179" s="215" t="str" cm="1">
        <f t="array" aca="1" ref="J179" ca="1">IF(INDIRECT("'"&amp;B179&amp;"'!E"&amp;C179)=0,"",INDIRECT("'"&amp;B179&amp;"'!E"&amp;C179))</f>
        <v>x</v>
      </c>
      <c r="K179" s="253" t="str" cm="1">
        <f t="array" aca="1" ref="K179" ca="1">IF(INDIRECT("'"&amp;B179&amp;"'!F"&amp;C179)=0,"N/A",INDIRECT("'"&amp;B179&amp;"'!F"&amp;C179))</f>
        <v>8.11</v>
      </c>
      <c r="L179" s="253" cm="1">
        <f t="array" aca="1" ref="L179" ca="1">IF(INDIRECT("'"&amp;B179&amp;"'!G"&amp;C179)=0,"N/A",INDIRECT("'"&amp;B179&amp;"'!G"&amp;C179))</f>
        <v>2</v>
      </c>
      <c r="M179" s="253" t="str" cm="1">
        <f t="array" aca="1" ref="M179" ca="1">IF(INDIRECT("'"&amp;B179&amp;"'!H"&amp;C179)=0,"N/A",INDIRECT("'"&amp;B179&amp;"'!H"&amp;C179))</f>
        <v>8.11 #2</v>
      </c>
      <c r="N179" s="221" t="str" cm="1">
        <f t="array" aca="1" ref="N179" ca="1">IF(INDIRECT("'"&amp;B179&amp;"'!I"&amp;C179)=0,"N/A",INDIRECT("'"&amp;B179&amp;"'!I"&amp;C179))</f>
        <v xml:space="preserve">มีการบันทึกและจัดเก็บหลักฐานการติดตั้ง patch บนระบบงานจริง โดยดำเนินการตามกระบวนการบริหารจัดการการเปลี่ยนแปลง (change management) ที่กำหนดไว้อย่างเหมาะสม เพื่อป้องกันความเสี่ยงและข้อผิดพลาดจากการปฏิบัติงาน 
</v>
      </c>
      <c r="O179" s="533" t="str" cm="1">
        <f t="array" aca="1" ref="O179" ca="1">IF(INDIRECT("'"&amp;B179&amp;"'!N"&amp;C179)=0,"N/A",INDIRECT("'"&amp;B179&amp;"'!N"&amp;C179))</f>
        <v>Yes/Partial/No</v>
      </c>
      <c r="P179" s="527" t="str" cm="1">
        <f t="array" aca="1" ref="P179" ca="1">IF(INDIRECT("'"&amp;B179&amp;"'!L"&amp;C179)=0,"",INDIRECT("'"&amp;B179&amp;"'!L"&amp;C179))</f>
        <v/>
      </c>
      <c r="Q179" s="527" t="str">
        <f t="shared" ca="1" si="16"/>
        <v/>
      </c>
      <c r="R179" s="563" t="str">
        <f t="shared" ca="1" si="17"/>
        <v>Yes</v>
      </c>
      <c r="S179" s="528" t="s">
        <v>1585</v>
      </c>
      <c r="T179" s="529" t="str">
        <f t="shared" si="18"/>
        <v/>
      </c>
      <c r="U179" s="529" t="str">
        <f t="shared" si="19"/>
        <v>X</v>
      </c>
      <c r="V179" s="529" t="str">
        <f t="shared" si="20"/>
        <v/>
      </c>
      <c r="W179" s="529" t="str">
        <f t="shared" si="21"/>
        <v/>
      </c>
      <c r="X179" s="529" t="str">
        <f t="shared" si="22"/>
        <v/>
      </c>
      <c r="Y179" s="529" t="str">
        <f t="shared" si="23"/>
        <v/>
      </c>
    </row>
    <row r="180" spans="1:25" ht="50.1" x14ac:dyDescent="0.2">
      <c r="A180" s="253" t="s">
        <v>1078</v>
      </c>
      <c r="B180" s="253" t="s">
        <v>1595</v>
      </c>
      <c r="C180" s="253">
        <v>95</v>
      </c>
      <c r="D180" s="253" t="s">
        <v>1579</v>
      </c>
      <c r="E180" s="253" t="s">
        <v>1617</v>
      </c>
      <c r="F180" s="253" t="s">
        <v>1571</v>
      </c>
      <c r="G180" s="215" t="str" cm="1">
        <f t="array" aca="1" ref="G180" ca="1">IF(INDIRECT("'"&amp;B180&amp;"'!B"&amp;C180)=0,"",INDIRECT("'"&amp;B180&amp;"'!B"&amp;C180))</f>
        <v>x</v>
      </c>
      <c r="H180" s="215" t="str" cm="1">
        <f t="array" aca="1" ref="H180" ca="1">IF(INDIRECT("'"&amp;B180&amp;"'!C"&amp;C180)=0,"",INDIRECT("'"&amp;B180&amp;"'!C"&amp;C180))</f>
        <v>x</v>
      </c>
      <c r="I180" s="215" t="str" cm="1">
        <f t="array" aca="1" ref="I180" ca="1">IF(INDIRECT("'"&amp;B180&amp;"'!D"&amp;C180)=0,"",INDIRECT("'"&amp;B180&amp;"'!D"&amp;C180))</f>
        <v>x</v>
      </c>
      <c r="J180" s="215" t="str" cm="1">
        <f t="array" aca="1" ref="J180" ca="1">IF(INDIRECT("'"&amp;B180&amp;"'!E"&amp;C180)=0,"",INDIRECT("'"&amp;B180&amp;"'!E"&amp;C180))</f>
        <v>x</v>
      </c>
      <c r="K180" s="253" t="str" cm="1">
        <f t="array" aca="1" ref="K180" ca="1">IF(INDIRECT("'"&amp;B180&amp;"'!F"&amp;C180)=0,"N/A",INDIRECT("'"&amp;B180&amp;"'!F"&amp;C180))</f>
        <v>8.11</v>
      </c>
      <c r="L180" s="253" cm="1">
        <f t="array" aca="1" ref="L180" ca="1">IF(INDIRECT("'"&amp;B180&amp;"'!G"&amp;C180)=0,"N/A",INDIRECT("'"&amp;B180&amp;"'!G"&amp;C180))</f>
        <v>3</v>
      </c>
      <c r="M180" s="253" t="str" cm="1">
        <f t="array" aca="1" ref="M180" ca="1">IF(INDIRECT("'"&amp;B180&amp;"'!H"&amp;C180)=0,"N/A",INDIRECT("'"&amp;B180&amp;"'!H"&amp;C180))</f>
        <v>8.11 #3</v>
      </c>
      <c r="N180" s="221" t="str" cm="1">
        <f t="array" aca="1" ref="N180" ca="1">IF(INDIRECT("'"&amp;B180&amp;"'!I"&amp;C180)=0,"N/A",INDIRECT("'"&amp;B180&amp;"'!I"&amp;C180))</f>
        <v>กรณีมีเหตุที่ผู้ผลิตระบบงานหรืออุปกรณ์ยังไม่แจ้งการปรับปรุง security patch อย่างเป็นทางการเพื่อปิดช่องโหว่ใหม่ ๆ ที่เพิ่งค้นพบ กำหนดให้มีการปฏิบัติตามคำแนะนำของผู้พัฒนาระบบ เจ้าของผลิตภัณฑ์ หรือผู้เชี่ยวชาญด้านความมั่นคงปลอดภัย หรือจัดให้มีมาตรการควบคุมทดแทน เพื่อลดความเสี่ยงจากการถูกโจมตีผ่านช่องโหว่นั้น ๆ</v>
      </c>
      <c r="O180" s="533" t="str" cm="1">
        <f t="array" aca="1" ref="O180" ca="1">IF(INDIRECT("'"&amp;B180&amp;"'!N"&amp;C180)=0,"N/A",INDIRECT("'"&amp;B180&amp;"'!N"&amp;C180))</f>
        <v>Yes/Partial/No</v>
      </c>
      <c r="P180" s="527" t="str" cm="1">
        <f t="array" aca="1" ref="P180" ca="1">IF(INDIRECT("'"&amp;B180&amp;"'!L"&amp;C180)=0,"",INDIRECT("'"&amp;B180&amp;"'!L"&amp;C180))</f>
        <v/>
      </c>
      <c r="Q180" s="527" t="str">
        <f t="shared" ca="1" si="16"/>
        <v/>
      </c>
      <c r="R180" s="563" t="str">
        <f t="shared" ca="1" si="17"/>
        <v>Yes</v>
      </c>
      <c r="S180" s="528" t="s">
        <v>1580</v>
      </c>
      <c r="T180" s="529" t="str">
        <f t="shared" si="18"/>
        <v/>
      </c>
      <c r="U180" s="529" t="str">
        <f t="shared" si="19"/>
        <v/>
      </c>
      <c r="V180" s="529" t="str">
        <f t="shared" si="20"/>
        <v>X</v>
      </c>
      <c r="W180" s="529" t="str">
        <f t="shared" si="21"/>
        <v/>
      </c>
      <c r="X180" s="529" t="str">
        <f t="shared" si="22"/>
        <v/>
      </c>
      <c r="Y180" s="529" t="str">
        <f t="shared" si="23"/>
        <v/>
      </c>
    </row>
    <row r="181" spans="1:25" ht="37.6" x14ac:dyDescent="0.2">
      <c r="A181" s="253" t="s">
        <v>1082</v>
      </c>
      <c r="B181" s="253" t="s">
        <v>1595</v>
      </c>
      <c r="C181" s="253">
        <v>96</v>
      </c>
      <c r="D181" s="253" t="s">
        <v>1579</v>
      </c>
      <c r="E181" s="253" t="s">
        <v>1617</v>
      </c>
      <c r="F181" s="253" t="s">
        <v>1574</v>
      </c>
      <c r="G181" s="215" t="str" cm="1">
        <f t="array" aca="1" ref="G181" ca="1">IF(INDIRECT("'"&amp;B181&amp;"'!B"&amp;C181)=0,"",INDIRECT("'"&amp;B181&amp;"'!B"&amp;C181))</f>
        <v>x</v>
      </c>
      <c r="H181" s="215" t="str" cm="1">
        <f t="array" aca="1" ref="H181" ca="1">IF(INDIRECT("'"&amp;B181&amp;"'!C"&amp;C181)=0,"",INDIRECT("'"&amp;B181&amp;"'!C"&amp;C181))</f>
        <v/>
      </c>
      <c r="I181" s="215" t="str" cm="1">
        <f t="array" aca="1" ref="I181" ca="1">IF(INDIRECT("'"&amp;B181&amp;"'!D"&amp;C181)=0,"",INDIRECT("'"&amp;B181&amp;"'!D"&amp;C181))</f>
        <v/>
      </c>
      <c r="J181" s="215" t="str" cm="1">
        <f t="array" aca="1" ref="J181" ca="1">IF(INDIRECT("'"&amp;B181&amp;"'!E"&amp;C181)=0,"",INDIRECT("'"&amp;B181&amp;"'!E"&amp;C181))</f>
        <v/>
      </c>
      <c r="K181" s="253" t="str" cm="1">
        <f t="array" aca="1" ref="K181" ca="1">IF(INDIRECT("'"&amp;B181&amp;"'!F"&amp;C181)=0,"N/A",INDIRECT("'"&amp;B181&amp;"'!F"&amp;C181))</f>
        <v>8.11</v>
      </c>
      <c r="L181" s="253" cm="1">
        <f t="array" aca="1" ref="L181" ca="1">IF(INDIRECT("'"&amp;B181&amp;"'!G"&amp;C181)=0,"N/A",INDIRECT("'"&amp;B181&amp;"'!G"&amp;C181))</f>
        <v>4</v>
      </c>
      <c r="M181" s="253" t="str" cm="1">
        <f t="array" aca="1" ref="M181" ca="1">IF(INDIRECT("'"&amp;B181&amp;"'!H"&amp;C181)=0,"N/A",INDIRECT("'"&amp;B181&amp;"'!H"&amp;C181))</f>
        <v>8.11 #4</v>
      </c>
      <c r="N181" s="221" t="str" cm="1">
        <f t="array" aca="1" ref="N181" ca="1">IF(INDIRECT("'"&amp;B181&amp;"'!I"&amp;C181)=0,"N/A",INDIRECT("'"&amp;B181&amp;"'!I"&amp;C181))</f>
        <v>มีการติดตั้งเครื่องมือที่ใช้ติดตาม patch ด้านการรักษาความปลอดภัย (patch monitoring tool)  ที่ยังไม่มีการติดตั้งบนระบบปฏิบัติการ (operation system) และระบบฐานข้อมูล (database system) ที่สำคัญของผู้ประกอบธุรกิจ</v>
      </c>
      <c r="O181" s="533" t="str" cm="1">
        <f t="array" aca="1" ref="O181" ca="1">IF(INDIRECT("'"&amp;B181&amp;"'!N"&amp;C181)=0,"N/A",INDIRECT("'"&amp;B181&amp;"'!N"&amp;C181))</f>
        <v>Yes/Partial/No</v>
      </c>
      <c r="P181" s="527" t="str" cm="1">
        <f t="array" aca="1" ref="P181" ca="1">IF(INDIRECT("'"&amp;B181&amp;"'!L"&amp;C181)=0,"",INDIRECT("'"&amp;B181&amp;"'!L"&amp;C181))</f>
        <v/>
      </c>
      <c r="Q181" s="527" t="str">
        <f t="shared" ca="1" si="16"/>
        <v/>
      </c>
      <c r="R181" s="563" t="str">
        <f t="shared" ca="1" si="17"/>
        <v>Yes</v>
      </c>
      <c r="S181" s="528" t="s">
        <v>1611</v>
      </c>
      <c r="T181" s="529" t="str">
        <f t="shared" si="18"/>
        <v/>
      </c>
      <c r="U181" s="529" t="str">
        <f t="shared" si="19"/>
        <v/>
      </c>
      <c r="V181" s="529" t="str">
        <f t="shared" si="20"/>
        <v>X</v>
      </c>
      <c r="W181" s="529" t="str">
        <f t="shared" si="21"/>
        <v>X</v>
      </c>
      <c r="X181" s="529" t="str">
        <f t="shared" si="22"/>
        <v/>
      </c>
      <c r="Y181" s="529" t="str">
        <f t="shared" si="23"/>
        <v/>
      </c>
    </row>
    <row r="182" spans="1:25" ht="112.7" x14ac:dyDescent="0.2">
      <c r="A182" s="253" t="s">
        <v>1087</v>
      </c>
      <c r="B182" s="253" t="s">
        <v>1618</v>
      </c>
      <c r="C182" s="253">
        <v>4</v>
      </c>
      <c r="D182" s="253" t="s">
        <v>1579</v>
      </c>
      <c r="E182" s="253">
        <v>2.9</v>
      </c>
      <c r="F182" s="253" t="s">
        <v>1571</v>
      </c>
      <c r="G182" s="215" t="str" cm="1">
        <f t="array" aca="1" ref="G182" ca="1">IF(INDIRECT("'"&amp;B182&amp;"'!B"&amp;C182)=0,"",INDIRECT("'"&amp;B182&amp;"'!B"&amp;C182))</f>
        <v>x</v>
      </c>
      <c r="H182" s="215" t="str" cm="1">
        <f t="array" aca="1" ref="H182" ca="1">IF(INDIRECT("'"&amp;B182&amp;"'!C"&amp;C182)=0,"",INDIRECT("'"&amp;B182&amp;"'!C"&amp;C182))</f>
        <v>x</v>
      </c>
      <c r="I182" s="215" t="str" cm="1">
        <f t="array" aca="1" ref="I182" ca="1">IF(INDIRECT("'"&amp;B182&amp;"'!D"&amp;C182)=0,"",INDIRECT("'"&amp;B182&amp;"'!D"&amp;C182))</f>
        <v>x</v>
      </c>
      <c r="J182" s="215" t="str" cm="1">
        <f t="array" aca="1" ref="J182" ca="1">IF(INDIRECT("'"&amp;B182&amp;"'!E"&amp;C182)=0,"",INDIRECT("'"&amp;B182&amp;"'!E"&amp;C182))</f>
        <v/>
      </c>
      <c r="K182" s="253" cm="1">
        <f t="array" aca="1" ref="K182" ca="1">IF(INDIRECT("'"&amp;B182&amp;"'!F"&amp;C182)=0,"N/A",INDIRECT("'"&amp;B182&amp;"'!F"&amp;C182))</f>
        <v>9</v>
      </c>
      <c r="L182" s="253" t="str" cm="1">
        <f t="array" aca="1" ref="L182" ca="1">IF(INDIRECT("'"&amp;B182&amp;"'!G"&amp;C182)=0,"N/A",INDIRECT("'"&amp;B182&amp;"'!G"&amp;C182))</f>
        <v>1(1),1(3)</v>
      </c>
      <c r="M182" s="253" t="str" cm="1">
        <f t="array" aca="1" ref="M182" ca="1">IF(INDIRECT("'"&amp;B182&amp;"'!H"&amp;C182)=0,"N/A",INDIRECT("'"&amp;B182&amp;"'!H"&amp;C182))</f>
        <v>9 #1(1),1(3)</v>
      </c>
      <c r="N182" s="221" t="str" cm="1">
        <f t="array" aca="1" ref="N182" ca="1">IF(INDIRECT("'"&amp;B182&amp;"'!I"&amp;C182)=0,"N/A",INDIRECT("'"&amp;B182&amp;"'!I"&amp;C182))</f>
        <v xml:space="preserve">มีการออกแบบแผนผังโครงสร้างระบบเครือข่าย (network diagram) และแบ่งแยกระบบเครือข่ายอย่างรัดกุมปลอดภัย ให้สอดคล้องกับลักษณะการใช้งาน ความเสี่ยง และความสำคัญ โดยควรมีการดำเนินการอย่างน้อย ดังนี้
    (1) แบ่งแยกเครือข่ายภายใน (private network) และเครือข่ายภายนอก (public network) ออกจากกัน
    (2) แบ่งแยกเครือข่ายของระบบ IT ที่มีนัยสำคัญ เครือข่ายสำหรับการปฏิบัติงานของพนักงาน และเครือข่ายสำหรับการใช้งานทั่วไป/เครือข่ายสำหรับบุคคลภายนอก (guest network) ออกจากกัน
    (3) จุดที่มีการแบ่งแยกเครือข่ายที่มีความสำคัญและมีความเสี่ยง ควรติดตั้งอุปกรณ์รักษาความปลอดภัยเครือข่ายที่มีความสามารถในการควบคุมและคัดกรองข้อมูล (traffic) ที่รับส่งผ่านเครือข่าย เพื่อป้องกันและตรวจจับการบุกรุกของไวรัสหรือโปรแกรมไม่ประสงค์ดี (มัลแวร์) ต่าง ๆ  
</v>
      </c>
      <c r="O182" s="533" t="str" cm="1">
        <f t="array" aca="1" ref="O182" ca="1">IF(INDIRECT("'"&amp;B182&amp;"'!N"&amp;C182)=0,"N/A",INDIRECT("'"&amp;B182&amp;"'!N"&amp;C182))</f>
        <v>Yes/Partial/No</v>
      </c>
      <c r="P182" s="527" t="str" cm="1">
        <f t="array" aca="1" ref="P182" ca="1">IF(INDIRECT("'"&amp;B182&amp;"'!L"&amp;C182)=0,"",INDIRECT("'"&amp;B182&amp;"'!L"&amp;C182))</f>
        <v/>
      </c>
      <c r="Q182" s="527" t="str">
        <f t="shared" ca="1" si="16"/>
        <v/>
      </c>
      <c r="R182" s="563" t="str">
        <f t="shared" ca="1" si="17"/>
        <v>Yes</v>
      </c>
      <c r="S182" s="528" t="s">
        <v>1605</v>
      </c>
      <c r="T182" s="529" t="str">
        <f t="shared" si="18"/>
        <v/>
      </c>
      <c r="U182" s="529" t="str">
        <f t="shared" si="19"/>
        <v>X</v>
      </c>
      <c r="V182" s="529" t="str">
        <f t="shared" si="20"/>
        <v>X</v>
      </c>
      <c r="W182" s="529" t="str">
        <f t="shared" si="21"/>
        <v/>
      </c>
      <c r="X182" s="529" t="str">
        <f t="shared" si="22"/>
        <v/>
      </c>
      <c r="Y182" s="529" t="str">
        <f t="shared" si="23"/>
        <v/>
      </c>
    </row>
    <row r="183" spans="1:25" x14ac:dyDescent="0.2">
      <c r="A183" s="253" t="s">
        <v>1092</v>
      </c>
      <c r="B183" s="253" t="s">
        <v>1618</v>
      </c>
      <c r="C183" s="253">
        <v>5</v>
      </c>
      <c r="D183" s="253" t="s">
        <v>1579</v>
      </c>
      <c r="E183" s="253">
        <v>2.9</v>
      </c>
      <c r="F183" s="253" t="s">
        <v>1571</v>
      </c>
      <c r="G183" s="215" t="str" cm="1">
        <f t="array" aca="1" ref="G183" ca="1">IF(INDIRECT("'"&amp;B183&amp;"'!B"&amp;C183)=0,"",INDIRECT("'"&amp;B183&amp;"'!B"&amp;C183))</f>
        <v>x</v>
      </c>
      <c r="H183" s="215" t="str" cm="1">
        <f t="array" aca="1" ref="H183" ca="1">IF(INDIRECT("'"&amp;B183&amp;"'!C"&amp;C183)=0,"",INDIRECT("'"&amp;B183&amp;"'!C"&amp;C183))</f>
        <v>x</v>
      </c>
      <c r="I183" s="215" t="str" cm="1">
        <f t="array" aca="1" ref="I183" ca="1">IF(INDIRECT("'"&amp;B183&amp;"'!D"&amp;C183)=0,"",INDIRECT("'"&amp;B183&amp;"'!D"&amp;C183))</f>
        <v>x</v>
      </c>
      <c r="J183" s="215" t="str" cm="1">
        <f t="array" aca="1" ref="J183" ca="1">IF(INDIRECT("'"&amp;B183&amp;"'!E"&amp;C183)=0,"",INDIRECT("'"&amp;B183&amp;"'!E"&amp;C183))</f>
        <v/>
      </c>
      <c r="K183" s="253" cm="1">
        <f t="array" aca="1" ref="K183" ca="1">IF(INDIRECT("'"&amp;B183&amp;"'!F"&amp;C183)=0,"N/A",INDIRECT("'"&amp;B183&amp;"'!F"&amp;C183))</f>
        <v>9</v>
      </c>
      <c r="L183" s="253" t="str" cm="1">
        <f t="array" aca="1" ref="L183" ca="1">IF(INDIRECT("'"&amp;B183&amp;"'!G"&amp;C183)=0,"N/A",INDIRECT("'"&amp;B183&amp;"'!G"&amp;C183))</f>
        <v>1(2)</v>
      </c>
      <c r="M183" s="253" t="str" cm="1">
        <f t="array" aca="1" ref="M183" ca="1">IF(INDIRECT("'"&amp;B183&amp;"'!H"&amp;C183)=0,"N/A",INDIRECT("'"&amp;B183&amp;"'!H"&amp;C183))</f>
        <v>9 #1(2)</v>
      </c>
      <c r="N183" s="221" t="str" cm="1">
        <f t="array" aca="1" ref="N183" ca="1">IF(INDIRECT("'"&amp;B183&amp;"'!I"&amp;C183)=0,"N/A",INDIRECT("'"&amp;B183&amp;"'!I"&amp;C183))</f>
        <v>มีการควบคุมการเชื่อมต่อของ ระบบงาน (application system) ที่มีความสำคัญอย่างเข้มงวด</v>
      </c>
      <c r="O183" s="533" t="str" cm="1">
        <f t="array" aca="1" ref="O183" ca="1">IF(INDIRECT("'"&amp;B183&amp;"'!N"&amp;C183)=0,"N/A",INDIRECT("'"&amp;B183&amp;"'!N"&amp;C183))</f>
        <v>Yes/Partial/No</v>
      </c>
      <c r="P183" s="527" t="str" cm="1">
        <f t="array" aca="1" ref="P183" ca="1">IF(INDIRECT("'"&amp;B183&amp;"'!L"&amp;C183)=0,"",INDIRECT("'"&amp;B183&amp;"'!L"&amp;C183))</f>
        <v/>
      </c>
      <c r="Q183" s="527" t="str">
        <f t="shared" ca="1" si="16"/>
        <v/>
      </c>
      <c r="R183" s="563" t="str">
        <f t="shared" ca="1" si="17"/>
        <v>Yes</v>
      </c>
      <c r="S183" s="528" t="s">
        <v>1619</v>
      </c>
      <c r="T183" s="529" t="str">
        <f t="shared" si="18"/>
        <v/>
      </c>
      <c r="U183" s="529" t="str">
        <f t="shared" si="19"/>
        <v>X</v>
      </c>
      <c r="V183" s="529" t="str">
        <f t="shared" si="20"/>
        <v>X</v>
      </c>
      <c r="W183" s="529" t="str">
        <f t="shared" si="21"/>
        <v/>
      </c>
      <c r="X183" s="529" t="str">
        <f t="shared" si="22"/>
        <v/>
      </c>
      <c r="Y183" s="529" t="str">
        <f t="shared" si="23"/>
        <v/>
      </c>
    </row>
    <row r="184" spans="1:25" x14ac:dyDescent="0.2">
      <c r="A184" s="253" t="s">
        <v>1096</v>
      </c>
      <c r="B184" s="253" t="s">
        <v>1618</v>
      </c>
      <c r="C184" s="253">
        <v>6</v>
      </c>
      <c r="D184" s="253" t="s">
        <v>1579</v>
      </c>
      <c r="E184" s="253">
        <v>2.9</v>
      </c>
      <c r="F184" s="253" t="s">
        <v>1571</v>
      </c>
      <c r="G184" s="215" t="str" cm="1">
        <f t="array" aca="1" ref="G184" ca="1">IF(INDIRECT("'"&amp;B184&amp;"'!B"&amp;C184)=0,"",INDIRECT("'"&amp;B184&amp;"'!B"&amp;C184))</f>
        <v>x</v>
      </c>
      <c r="H184" s="215" t="str" cm="1">
        <f t="array" aca="1" ref="H184" ca="1">IF(INDIRECT("'"&amp;B184&amp;"'!C"&amp;C184)=0,"",INDIRECT("'"&amp;B184&amp;"'!C"&amp;C184))</f>
        <v>x</v>
      </c>
      <c r="I184" s="215" t="str" cm="1">
        <f t="array" aca="1" ref="I184" ca="1">IF(INDIRECT("'"&amp;B184&amp;"'!D"&amp;C184)=0,"",INDIRECT("'"&amp;B184&amp;"'!D"&amp;C184))</f>
        <v>x</v>
      </c>
      <c r="J184" s="215" t="str" cm="1">
        <f t="array" aca="1" ref="J184" ca="1">IF(INDIRECT("'"&amp;B184&amp;"'!E"&amp;C184)=0,"",INDIRECT("'"&amp;B184&amp;"'!E"&amp;C184))</f>
        <v/>
      </c>
      <c r="K184" s="253" cm="1">
        <f t="array" aca="1" ref="K184" ca="1">IF(INDIRECT("'"&amp;B184&amp;"'!F"&amp;C184)=0,"N/A",INDIRECT("'"&amp;B184&amp;"'!F"&amp;C184))</f>
        <v>9</v>
      </c>
      <c r="L184" s="253" t="str" cm="1">
        <f t="array" aca="1" ref="L184" ca="1">IF(INDIRECT("'"&amp;B184&amp;"'!G"&amp;C184)=0,"N/A",INDIRECT("'"&amp;B184&amp;"'!G"&amp;C184))</f>
        <v>1(4)</v>
      </c>
      <c r="M184" s="253" t="str" cm="1">
        <f t="array" aca="1" ref="M184" ca="1">IF(INDIRECT("'"&amp;B184&amp;"'!H"&amp;C184)=0,"N/A",INDIRECT("'"&amp;B184&amp;"'!H"&amp;C184))</f>
        <v>9 #1(4)</v>
      </c>
      <c r="N184" s="221" t="str" cm="1">
        <f t="array" aca="1" ref="N184" ca="1">IF(INDIRECT("'"&amp;B184&amp;"'!I"&amp;C184)=0,"N/A",INDIRECT("'"&amp;B184&amp;"'!I"&amp;C184))</f>
        <v>มีการควบคุม และจำกัดให้มีเฉพาะอุปกรณ์ที่ได้รับอนุญาตเท่านั้นที่สามารถเชื่อมต่อกับระบบเครือข่ายภายในได้</v>
      </c>
      <c r="O184" s="533" t="str" cm="1">
        <f t="array" aca="1" ref="O184" ca="1">IF(INDIRECT("'"&amp;B184&amp;"'!N"&amp;C184)=0,"N/A",INDIRECT("'"&amp;B184&amp;"'!N"&amp;C184))</f>
        <v>Yes/Partial/No</v>
      </c>
      <c r="P184" s="527" t="str" cm="1">
        <f t="array" aca="1" ref="P184" ca="1">IF(INDIRECT("'"&amp;B184&amp;"'!L"&amp;C184)=0,"",INDIRECT("'"&amp;B184&amp;"'!L"&amp;C184))</f>
        <v/>
      </c>
      <c r="Q184" s="527" t="str">
        <f t="shared" ca="1" si="16"/>
        <v/>
      </c>
      <c r="R184" s="563" t="str">
        <f t="shared" ca="1" si="17"/>
        <v>Yes</v>
      </c>
      <c r="S184" s="528" t="s">
        <v>1605</v>
      </c>
      <c r="T184" s="529" t="str">
        <f t="shared" si="18"/>
        <v/>
      </c>
      <c r="U184" s="529" t="str">
        <f t="shared" si="19"/>
        <v>X</v>
      </c>
      <c r="V184" s="529" t="str">
        <f t="shared" si="20"/>
        <v>X</v>
      </c>
      <c r="W184" s="529" t="str">
        <f t="shared" si="21"/>
        <v/>
      </c>
      <c r="X184" s="529" t="str">
        <f t="shared" si="22"/>
        <v/>
      </c>
      <c r="Y184" s="529" t="str">
        <f t="shared" si="23"/>
        <v/>
      </c>
    </row>
    <row r="185" spans="1:25" ht="25.05" x14ac:dyDescent="0.2">
      <c r="A185" s="253" t="s">
        <v>1100</v>
      </c>
      <c r="B185" s="253" t="s">
        <v>1618</v>
      </c>
      <c r="C185" s="253">
        <v>7</v>
      </c>
      <c r="D185" s="253" t="s">
        <v>1579</v>
      </c>
      <c r="E185" s="253">
        <v>2.9</v>
      </c>
      <c r="F185" s="253" t="s">
        <v>1571</v>
      </c>
      <c r="G185" s="215" t="str" cm="1">
        <f t="array" aca="1" ref="G185" ca="1">IF(INDIRECT("'"&amp;B185&amp;"'!B"&amp;C185)=0,"",INDIRECT("'"&amp;B185&amp;"'!B"&amp;C185))</f>
        <v>x</v>
      </c>
      <c r="H185" s="215" t="str" cm="1">
        <f t="array" aca="1" ref="H185" ca="1">IF(INDIRECT("'"&amp;B185&amp;"'!C"&amp;C185)=0,"",INDIRECT("'"&amp;B185&amp;"'!C"&amp;C185))</f>
        <v>x</v>
      </c>
      <c r="I185" s="215" t="str" cm="1">
        <f t="array" aca="1" ref="I185" ca="1">IF(INDIRECT("'"&amp;B185&amp;"'!D"&amp;C185)=0,"",INDIRECT("'"&amp;B185&amp;"'!D"&amp;C185))</f>
        <v>x</v>
      </c>
      <c r="J185" s="215" t="str" cm="1">
        <f t="array" aca="1" ref="J185" ca="1">IF(INDIRECT("'"&amp;B185&amp;"'!E"&amp;C185)=0,"",INDIRECT("'"&amp;B185&amp;"'!E"&amp;C185))</f>
        <v/>
      </c>
      <c r="K185" s="253" cm="1">
        <f t="array" aca="1" ref="K185" ca="1">IF(INDIRECT("'"&amp;B185&amp;"'!F"&amp;C185)=0,"N/A",INDIRECT("'"&amp;B185&amp;"'!F"&amp;C185))</f>
        <v>9</v>
      </c>
      <c r="L185" s="253" t="str" cm="1">
        <f t="array" aca="1" ref="L185" ca="1">IF(INDIRECT("'"&amp;B185&amp;"'!G"&amp;C185)=0,"N/A",INDIRECT("'"&amp;B185&amp;"'!G"&amp;C185))</f>
        <v>1(5)</v>
      </c>
      <c r="M185" s="253" t="str" cm="1">
        <f t="array" aca="1" ref="M185" ca="1">IF(INDIRECT("'"&amp;B185&amp;"'!H"&amp;C185)=0,"N/A",INDIRECT("'"&amp;B185&amp;"'!H"&amp;C185))</f>
        <v>9 #1(5)</v>
      </c>
      <c r="N185" s="221" t="str" cm="1">
        <f t="array" aca="1" ref="N185" ca="1">IF(INDIRECT("'"&amp;B185&amp;"'!I"&amp;C185)=0,"N/A",INDIRECT("'"&amp;B185&amp;"'!I"&amp;C185))</f>
        <v>มีการเปิดใช้งาน ช่องทางเชื่อมต่อการให้บริการ (service port) ที่เชื่อมต่อตามความจำเป็น รวมถึงมีการอนุมัติเปิดใช้งานช่องทางเชื่อมต่อ (port) จากผู้มีอำนาจและจัดให้มีการควบคุมอย่างเหมาะสม</v>
      </c>
      <c r="O185" s="533" t="str" cm="1">
        <f t="array" aca="1" ref="O185" ca="1">IF(INDIRECT("'"&amp;B185&amp;"'!N"&amp;C185)=0,"N/A",INDIRECT("'"&amp;B185&amp;"'!N"&amp;C185))</f>
        <v>Maturity</v>
      </c>
      <c r="P185" s="527" t="str" cm="1">
        <f t="array" aca="1" ref="P185" ca="1">IF(INDIRECT("'"&amp;B185&amp;"'!L"&amp;C185)=0,"",INDIRECT("'"&amp;B185&amp;"'!L"&amp;C185))</f>
        <v/>
      </c>
      <c r="Q185" s="527" t="str">
        <f t="shared" ca="1" si="16"/>
        <v/>
      </c>
      <c r="R185" s="563" t="str">
        <f t="shared" ca="1" si="17"/>
        <v>Yes</v>
      </c>
      <c r="S185" s="528" t="s">
        <v>1620</v>
      </c>
      <c r="T185" s="529" t="str">
        <f t="shared" si="18"/>
        <v>X</v>
      </c>
      <c r="U185" s="529" t="str">
        <f t="shared" si="19"/>
        <v>X</v>
      </c>
      <c r="V185" s="529" t="str">
        <f t="shared" si="20"/>
        <v>X</v>
      </c>
      <c r="W185" s="529" t="str">
        <f t="shared" si="21"/>
        <v/>
      </c>
      <c r="X185" s="529" t="str">
        <f t="shared" si="22"/>
        <v/>
      </c>
      <c r="Y185" s="529" t="str">
        <f t="shared" si="23"/>
        <v/>
      </c>
    </row>
    <row r="186" spans="1:25" ht="25.05" x14ac:dyDescent="0.2">
      <c r="A186" s="253" t="s">
        <v>1109</v>
      </c>
      <c r="B186" s="253" t="s">
        <v>1618</v>
      </c>
      <c r="C186" s="253">
        <v>8</v>
      </c>
      <c r="D186" s="253" t="s">
        <v>1579</v>
      </c>
      <c r="E186" s="253">
        <v>2.9</v>
      </c>
      <c r="F186" s="253" t="s">
        <v>1571</v>
      </c>
      <c r="G186" s="215" t="str" cm="1">
        <f t="array" aca="1" ref="G186" ca="1">IF(INDIRECT("'"&amp;B186&amp;"'!B"&amp;C186)=0,"",INDIRECT("'"&amp;B186&amp;"'!B"&amp;C186))</f>
        <v>x</v>
      </c>
      <c r="H186" s="215" t="str" cm="1">
        <f t="array" aca="1" ref="H186" ca="1">IF(INDIRECT("'"&amp;B186&amp;"'!C"&amp;C186)=0,"",INDIRECT("'"&amp;B186&amp;"'!C"&amp;C186))</f>
        <v>x</v>
      </c>
      <c r="I186" s="215" t="str" cm="1">
        <f t="array" aca="1" ref="I186" ca="1">IF(INDIRECT("'"&amp;B186&amp;"'!D"&amp;C186)=0,"",INDIRECT("'"&amp;B186&amp;"'!D"&amp;C186))</f>
        <v>x</v>
      </c>
      <c r="J186" s="215" t="str" cm="1">
        <f t="array" aca="1" ref="J186" ca="1">IF(INDIRECT("'"&amp;B186&amp;"'!E"&amp;C186)=0,"",INDIRECT("'"&amp;B186&amp;"'!E"&amp;C186))</f>
        <v/>
      </c>
      <c r="K186" s="253" cm="1">
        <f t="array" aca="1" ref="K186" ca="1">IF(INDIRECT("'"&amp;B186&amp;"'!F"&amp;C186)=0,"N/A",INDIRECT("'"&amp;B186&amp;"'!F"&amp;C186))</f>
        <v>9</v>
      </c>
      <c r="L186" s="253" t="str" cm="1">
        <f t="array" aca="1" ref="L186" ca="1">IF(INDIRECT("'"&amp;B186&amp;"'!G"&amp;C186)=0,"N/A",INDIRECT("'"&amp;B186&amp;"'!G"&amp;C186))</f>
        <v>1(6)</v>
      </c>
      <c r="M186" s="253" t="str" cm="1">
        <f t="array" aca="1" ref="M186" ca="1">IF(INDIRECT("'"&amp;B186&amp;"'!H"&amp;C186)=0,"N/A",INDIRECT("'"&amp;B186&amp;"'!H"&amp;C186))</f>
        <v>9 #1(6)</v>
      </c>
      <c r="N186" s="221" t="str" cm="1">
        <f t="array" aca="1" ref="N186" ca="1">IF(INDIRECT("'"&amp;B186&amp;"'!I"&amp;C186)=0,"N/A",INDIRECT("'"&amp;B186&amp;"'!I"&amp;C186))</f>
        <v>มีการกำหนดมาตรฐานการให้บริการ (service level agreement : SLA) และกำหนดให้มีการติดตามสถานะความพร้อมใช้งานของระบบเครือข่ายให้อยู่ในระดับ SLA ที่กำหนดไว้</v>
      </c>
      <c r="O186" s="533" t="str" cm="1">
        <f t="array" aca="1" ref="O186" ca="1">IF(INDIRECT("'"&amp;B186&amp;"'!N"&amp;C186)=0,"N/A",INDIRECT("'"&amp;B186&amp;"'!N"&amp;C186))</f>
        <v>Yes/Partial/No</v>
      </c>
      <c r="P186" s="527" t="str" cm="1">
        <f t="array" aca="1" ref="P186" ca="1">IF(INDIRECT("'"&amp;B186&amp;"'!L"&amp;C186)=0,"",INDIRECT("'"&amp;B186&amp;"'!L"&amp;C186))</f>
        <v/>
      </c>
      <c r="Q186" s="527" t="str">
        <f t="shared" ca="1" si="16"/>
        <v/>
      </c>
      <c r="R186" s="563" t="str">
        <f t="shared" ca="1" si="17"/>
        <v>Yes</v>
      </c>
      <c r="S186" s="528" t="s">
        <v>1590</v>
      </c>
      <c r="T186" s="529" t="str">
        <f t="shared" si="18"/>
        <v>X</v>
      </c>
      <c r="U186" s="529" t="str">
        <f t="shared" si="19"/>
        <v/>
      </c>
      <c r="V186" s="529" t="str">
        <f t="shared" si="20"/>
        <v>X</v>
      </c>
      <c r="W186" s="529" t="str">
        <f t="shared" si="21"/>
        <v/>
      </c>
      <c r="X186" s="529" t="str">
        <f t="shared" si="22"/>
        <v/>
      </c>
      <c r="Y186" s="529" t="str">
        <f t="shared" si="23"/>
        <v/>
      </c>
    </row>
    <row r="187" spans="1:25" ht="37.6" x14ac:dyDescent="0.2">
      <c r="A187" s="253" t="s">
        <v>1113</v>
      </c>
      <c r="B187" s="253" t="s">
        <v>1618</v>
      </c>
      <c r="C187" s="253">
        <v>9</v>
      </c>
      <c r="D187" s="253" t="s">
        <v>1579</v>
      </c>
      <c r="E187" s="253">
        <v>2.9</v>
      </c>
      <c r="F187" s="253" t="s">
        <v>1571</v>
      </c>
      <c r="G187" s="215" t="str" cm="1">
        <f t="array" aca="1" ref="G187" ca="1">IF(INDIRECT("'"&amp;B187&amp;"'!B"&amp;C187)=0,"",INDIRECT("'"&amp;B187&amp;"'!B"&amp;C187))</f>
        <v>x</v>
      </c>
      <c r="H187" s="215" t="str" cm="1">
        <f t="array" aca="1" ref="H187" ca="1">IF(INDIRECT("'"&amp;B187&amp;"'!C"&amp;C187)=0,"",INDIRECT("'"&amp;B187&amp;"'!C"&amp;C187))</f>
        <v>x</v>
      </c>
      <c r="I187" s="215" t="str" cm="1">
        <f t="array" aca="1" ref="I187" ca="1">IF(INDIRECT("'"&amp;B187&amp;"'!D"&amp;C187)=0,"",INDIRECT("'"&amp;B187&amp;"'!D"&amp;C187))</f>
        <v>x</v>
      </c>
      <c r="J187" s="215" t="str" cm="1">
        <f t="array" aca="1" ref="J187" ca="1">IF(INDIRECT("'"&amp;B187&amp;"'!E"&amp;C187)=0,"",INDIRECT("'"&amp;B187&amp;"'!E"&amp;C187))</f>
        <v/>
      </c>
      <c r="K187" s="253" cm="1">
        <f t="array" aca="1" ref="K187" ca="1">IF(INDIRECT("'"&amp;B187&amp;"'!F"&amp;C187)=0,"N/A",INDIRECT("'"&amp;B187&amp;"'!F"&amp;C187))</f>
        <v>9</v>
      </c>
      <c r="L187" s="253" t="str" cm="1">
        <f t="array" aca="1" ref="L187" ca="1">IF(INDIRECT("'"&amp;B187&amp;"'!G"&amp;C187)=0,"N/A",INDIRECT("'"&amp;B187&amp;"'!G"&amp;C187))</f>
        <v>1(7)</v>
      </c>
      <c r="M187" s="253" t="str" cm="1">
        <f t="array" aca="1" ref="M187" ca="1">IF(INDIRECT("'"&amp;B187&amp;"'!H"&amp;C187)=0,"N/A",INDIRECT("'"&amp;B187&amp;"'!H"&amp;C187))</f>
        <v>9 #1(7)</v>
      </c>
      <c r="N187" s="221" t="str" cm="1">
        <f t="array" aca="1" ref="N187" ca="1">IF(INDIRECT("'"&amp;B187&amp;"'!I"&amp;C187)=0,"N/A",INDIRECT("'"&amp;B187&amp;"'!I"&amp;C187))</f>
        <v xml:space="preserve">มีระบบหรือมาตรการตรวจจับ ป้องกันและระงับยับยั้งการโจมตีจากเครือข่ายสาธารณะตามความเสี่ยงอย่างเหมาะสม เช่น การใช้อุปกรณ์การรักษาความปลอดภัย intrusion prevention system (IPS) และการป้องกันการโจมตีแบบ DDoS (DDoS protection) เป็นต้น </v>
      </c>
      <c r="O187" s="533" t="str" cm="1">
        <f t="array" aca="1" ref="O187" ca="1">IF(INDIRECT("'"&amp;B187&amp;"'!N"&amp;C187)=0,"N/A",INDIRECT("'"&amp;B187&amp;"'!N"&amp;C187))</f>
        <v>Yes/Partial/No</v>
      </c>
      <c r="P187" s="527" t="str" cm="1">
        <f t="array" aca="1" ref="P187" ca="1">IF(INDIRECT("'"&amp;B187&amp;"'!L"&amp;C187)=0,"",INDIRECT("'"&amp;B187&amp;"'!L"&amp;C187))</f>
        <v/>
      </c>
      <c r="Q187" s="527" t="str">
        <f t="shared" ca="1" si="16"/>
        <v/>
      </c>
      <c r="R187" s="563" t="str">
        <f t="shared" ca="1" si="17"/>
        <v>Yes</v>
      </c>
      <c r="S187" s="528" t="s">
        <v>1611</v>
      </c>
      <c r="T187" s="529" t="str">
        <f t="shared" si="18"/>
        <v/>
      </c>
      <c r="U187" s="529" t="str">
        <f t="shared" si="19"/>
        <v/>
      </c>
      <c r="V187" s="529" t="str">
        <f t="shared" si="20"/>
        <v>X</v>
      </c>
      <c r="W187" s="529" t="str">
        <f t="shared" si="21"/>
        <v>X</v>
      </c>
      <c r="X187" s="529" t="str">
        <f t="shared" si="22"/>
        <v/>
      </c>
      <c r="Y187" s="529" t="str">
        <f t="shared" si="23"/>
        <v/>
      </c>
    </row>
    <row r="188" spans="1:25" ht="25.05" x14ac:dyDescent="0.2">
      <c r="A188" s="253" t="s">
        <v>1118</v>
      </c>
      <c r="B188" s="253" t="s">
        <v>1618</v>
      </c>
      <c r="C188" s="253">
        <v>10</v>
      </c>
      <c r="D188" s="253" t="s">
        <v>1579</v>
      </c>
      <c r="E188" s="253">
        <v>2.9</v>
      </c>
      <c r="F188" s="253" t="s">
        <v>1574</v>
      </c>
      <c r="G188" s="215" t="str" cm="1">
        <f t="array" aca="1" ref="G188" ca="1">IF(INDIRECT("'"&amp;B188&amp;"'!B"&amp;C188)=0,"",INDIRECT("'"&amp;B188&amp;"'!B"&amp;C188))</f>
        <v>x</v>
      </c>
      <c r="H188" s="215" t="str" cm="1">
        <f t="array" aca="1" ref="H188" ca="1">IF(INDIRECT("'"&amp;B188&amp;"'!C"&amp;C188)=0,"",INDIRECT("'"&amp;B188&amp;"'!C"&amp;C188))</f>
        <v/>
      </c>
      <c r="I188" s="215" t="str" cm="1">
        <f t="array" aca="1" ref="I188" ca="1">IF(INDIRECT("'"&amp;B188&amp;"'!D"&amp;C188)=0,"",INDIRECT("'"&amp;B188&amp;"'!D"&amp;C188))</f>
        <v/>
      </c>
      <c r="J188" s="215" t="str" cm="1">
        <f t="array" aca="1" ref="J188" ca="1">IF(INDIRECT("'"&amp;B188&amp;"'!E"&amp;C188)=0,"",INDIRECT("'"&amp;B188&amp;"'!E"&amp;C188))</f>
        <v/>
      </c>
      <c r="K188" s="253" cm="1">
        <f t="array" aca="1" ref="K188" ca="1">IF(INDIRECT("'"&amp;B188&amp;"'!F"&amp;C188)=0,"N/A",INDIRECT("'"&amp;B188&amp;"'!F"&amp;C188))</f>
        <v>9</v>
      </c>
      <c r="L188" s="253" t="str" cm="1">
        <f t="array" aca="1" ref="L188" ca="1">IF(INDIRECT("'"&amp;B188&amp;"'!G"&amp;C188)=0,"N/A",INDIRECT("'"&amp;B188&amp;"'!G"&amp;C188))</f>
        <v>1(8)</v>
      </c>
      <c r="M188" s="253" t="str" cm="1">
        <f t="array" aca="1" ref="M188" ca="1">IF(INDIRECT("'"&amp;B188&amp;"'!H"&amp;C188)=0,"N/A",INDIRECT("'"&amp;B188&amp;"'!H"&amp;C188))</f>
        <v>9 #1(8)</v>
      </c>
      <c r="N188" s="221" t="str" cm="1">
        <f t="array" aca="1" ref="N188" ca="1">IF(INDIRECT("'"&amp;B188&amp;"'!I"&amp;C188)=0,"N/A",INDIRECT("'"&amp;B188&amp;"'!I"&amp;C188))</f>
        <v xml:space="preserve">มีการติดตั้งอุปกรณ์รักษาความปลอดภัยเครือข่ายเพื่อคัดกรอง traffic ในระดับ application ในจุดที่มีการเชื่อมต่อกับเครือข่ายสาธารณะ เช่น การใช้ web application firewall (WAF) เป็นต้น  </v>
      </c>
      <c r="O188" s="533" t="str" cm="1">
        <f t="array" aca="1" ref="O188" ca="1">IF(INDIRECT("'"&amp;B188&amp;"'!N"&amp;C188)=0,"N/A",INDIRECT("'"&amp;B188&amp;"'!N"&amp;C188))</f>
        <v>Yes/Partial/No</v>
      </c>
      <c r="P188" s="527" t="str" cm="1">
        <f t="array" aca="1" ref="P188" ca="1">IF(INDIRECT("'"&amp;B188&amp;"'!L"&amp;C188)=0,"",INDIRECT("'"&amp;B188&amp;"'!L"&amp;C188))</f>
        <v/>
      </c>
      <c r="Q188" s="527" t="str">
        <f t="shared" ca="1" si="16"/>
        <v/>
      </c>
      <c r="R188" s="563" t="str">
        <f t="shared" ca="1" si="17"/>
        <v>Yes</v>
      </c>
      <c r="S188" s="528" t="s">
        <v>1611</v>
      </c>
      <c r="T188" s="529" t="str">
        <f t="shared" si="18"/>
        <v/>
      </c>
      <c r="U188" s="529" t="str">
        <f t="shared" si="19"/>
        <v/>
      </c>
      <c r="V188" s="529" t="str">
        <f t="shared" si="20"/>
        <v>X</v>
      </c>
      <c r="W188" s="529" t="str">
        <f t="shared" si="21"/>
        <v>X</v>
      </c>
      <c r="X188" s="529" t="str">
        <f t="shared" si="22"/>
        <v/>
      </c>
      <c r="Y188" s="529" t="str">
        <f t="shared" si="23"/>
        <v/>
      </c>
    </row>
    <row r="189" spans="1:25" ht="37.6" x14ac:dyDescent="0.2">
      <c r="A189" s="253" t="s">
        <v>1123</v>
      </c>
      <c r="B189" s="253" t="s">
        <v>1618</v>
      </c>
      <c r="C189" s="253">
        <v>11</v>
      </c>
      <c r="D189" s="253" t="s">
        <v>1579</v>
      </c>
      <c r="E189" s="253">
        <v>2.9</v>
      </c>
      <c r="F189" s="253" t="s">
        <v>1574</v>
      </c>
      <c r="G189" s="215" t="str" cm="1">
        <f t="array" aca="1" ref="G189" ca="1">IF(INDIRECT("'"&amp;B189&amp;"'!B"&amp;C189)=0,"",INDIRECT("'"&amp;B189&amp;"'!B"&amp;C189))</f>
        <v>x</v>
      </c>
      <c r="H189" s="215" t="str" cm="1">
        <f t="array" aca="1" ref="H189" ca="1">IF(INDIRECT("'"&amp;B189&amp;"'!C"&amp;C189)=0,"",INDIRECT("'"&amp;B189&amp;"'!C"&amp;C189))</f>
        <v/>
      </c>
      <c r="I189" s="215" t="str" cm="1">
        <f t="array" aca="1" ref="I189" ca="1">IF(INDIRECT("'"&amp;B189&amp;"'!D"&amp;C189)=0,"",INDIRECT("'"&amp;B189&amp;"'!D"&amp;C189))</f>
        <v/>
      </c>
      <c r="J189" s="215" t="str" cm="1">
        <f t="array" aca="1" ref="J189" ca="1">IF(INDIRECT("'"&amp;B189&amp;"'!E"&amp;C189)=0,"",INDIRECT("'"&amp;B189&amp;"'!E"&amp;C189))</f>
        <v/>
      </c>
      <c r="K189" s="253" cm="1">
        <f t="array" aca="1" ref="K189" ca="1">IF(INDIRECT("'"&amp;B189&amp;"'!F"&amp;C189)=0,"N/A",INDIRECT("'"&amp;B189&amp;"'!F"&amp;C189))</f>
        <v>9</v>
      </c>
      <c r="L189" s="253" t="str" cm="1">
        <f t="array" aca="1" ref="L189" ca="1">IF(INDIRECT("'"&amp;B189&amp;"'!G"&amp;C189)=0,"N/A",INDIRECT("'"&amp;B189&amp;"'!G"&amp;C189))</f>
        <v>1(9)</v>
      </c>
      <c r="M189" s="253" t="str" cm="1">
        <f t="array" aca="1" ref="M189" ca="1">IF(INDIRECT("'"&amp;B189&amp;"'!H"&amp;C189)=0,"N/A",INDIRECT("'"&amp;B189&amp;"'!H"&amp;C189))</f>
        <v>9 #1(9)</v>
      </c>
      <c r="N189" s="221" t="str" cm="1">
        <f t="array" aca="1" ref="N189" ca="1">IF(INDIRECT("'"&amp;B189&amp;"'!I"&amp;C189)=0,"N/A",INDIRECT("'"&amp;B189&amp;"'!I"&amp;C189))</f>
        <v>มีการแยกเครือข่ายเฉพาะสำหรับบริหารจัดการหรือตั้งค่า (config) ของอุปกรณ์เครือข่าย และอุปกรณ์รักษาความปลอดภัย ออกจากเครือข่ายปกติ เพื่อลดความเสี่ยงในการเปลี่ยนแปลงการตั้งค่า (config) ของอุปกรณ์เครือข่ายและอุปกรณ์รักษาความปลอดภัยเครือข่ายโดยบุคคลที่ไม่ได้รับอนุญาต</v>
      </c>
      <c r="O189" s="533" t="str" cm="1">
        <f t="array" aca="1" ref="O189" ca="1">IF(INDIRECT("'"&amp;B189&amp;"'!N"&amp;C189)=0,"N/A",INDIRECT("'"&amp;B189&amp;"'!N"&amp;C189))</f>
        <v>Yes/Partial/No</v>
      </c>
      <c r="P189" s="527" t="str" cm="1">
        <f t="array" aca="1" ref="P189" ca="1">IF(INDIRECT("'"&amp;B189&amp;"'!L"&amp;C189)=0,"",INDIRECT("'"&amp;B189&amp;"'!L"&amp;C189))</f>
        <v/>
      </c>
      <c r="Q189" s="527" t="str">
        <f t="shared" ca="1" si="16"/>
        <v/>
      </c>
      <c r="R189" s="563" t="str">
        <f t="shared" ca="1" si="17"/>
        <v>Yes</v>
      </c>
      <c r="S189" s="528" t="s">
        <v>1608</v>
      </c>
      <c r="T189" s="529" t="str">
        <f t="shared" si="18"/>
        <v/>
      </c>
      <c r="U189" s="529" t="str">
        <f t="shared" si="19"/>
        <v/>
      </c>
      <c r="V189" s="529" t="str">
        <f t="shared" si="20"/>
        <v>X</v>
      </c>
      <c r="W189" s="529" t="str">
        <f t="shared" si="21"/>
        <v/>
      </c>
      <c r="X189" s="529" t="str">
        <f t="shared" si="22"/>
        <v/>
      </c>
      <c r="Y189" s="529" t="str">
        <f t="shared" si="23"/>
        <v/>
      </c>
    </row>
    <row r="190" spans="1:25" x14ac:dyDescent="0.2">
      <c r="A190" s="253" t="s">
        <v>1128</v>
      </c>
      <c r="B190" s="253" t="s">
        <v>1618</v>
      </c>
      <c r="C190" s="253">
        <v>12</v>
      </c>
      <c r="D190" s="253" t="s">
        <v>1579</v>
      </c>
      <c r="E190" s="253">
        <v>2.9</v>
      </c>
      <c r="F190" s="253" t="s">
        <v>1571</v>
      </c>
      <c r="G190" s="215" t="str" cm="1">
        <f t="array" aca="1" ref="G190" ca="1">IF(INDIRECT("'"&amp;B190&amp;"'!B"&amp;C190)=0,"",INDIRECT("'"&amp;B190&amp;"'!B"&amp;C190))</f>
        <v>x</v>
      </c>
      <c r="H190" s="215" t="str" cm="1">
        <f t="array" aca="1" ref="H190" ca="1">IF(INDIRECT("'"&amp;B190&amp;"'!C"&amp;C190)=0,"",INDIRECT("'"&amp;B190&amp;"'!C"&amp;C190))</f>
        <v>x</v>
      </c>
      <c r="I190" s="215" t="str" cm="1">
        <f t="array" aca="1" ref="I190" ca="1">IF(INDIRECT("'"&amp;B190&amp;"'!D"&amp;C190)=0,"",INDIRECT("'"&amp;B190&amp;"'!D"&amp;C190))</f>
        <v>x</v>
      </c>
      <c r="J190" s="215" t="str" cm="1">
        <f t="array" aca="1" ref="J190" ca="1">IF(INDIRECT("'"&amp;B190&amp;"'!E"&amp;C190)=0,"",INDIRECT("'"&amp;B190&amp;"'!E"&amp;C190))</f>
        <v/>
      </c>
      <c r="K190" s="253" cm="1">
        <f t="array" aca="1" ref="K190" ca="1">IF(INDIRECT("'"&amp;B190&amp;"'!F"&amp;C190)=0,"N/A",INDIRECT("'"&amp;B190&amp;"'!F"&amp;C190))</f>
        <v>9</v>
      </c>
      <c r="L190" s="253" t="str" cm="1">
        <f t="array" aca="1" ref="L190" ca="1">IF(INDIRECT("'"&amp;B190&amp;"'!G"&amp;C190)=0,"N/A",INDIRECT("'"&amp;B190&amp;"'!G"&amp;C190))</f>
        <v>2(1)</v>
      </c>
      <c r="M190" s="253" t="str" cm="1">
        <f t="array" aca="1" ref="M190" ca="1">IF(INDIRECT("'"&amp;B190&amp;"'!H"&amp;C190)=0,"N/A",INDIRECT("'"&amp;B190&amp;"'!H"&amp;C190))</f>
        <v>9 #2(1)</v>
      </c>
      <c r="N190" s="221" t="str" cm="1">
        <f t="array" aca="1" ref="N190" ca="1">IF(INDIRECT("'"&amp;B190&amp;"'!I"&amp;C190)=0,"N/A",INDIRECT("'"&amp;B190&amp;"'!I"&amp;C190))</f>
        <v>มีการกำหนดแนวปฏิบัติที่ดีในการรับส่งข้อมูลสารสนเทศผ่านช่องทางการสื่อสารอิเล็กทรอนิกส์ประเภทต่าง ๆ</v>
      </c>
      <c r="O190" s="533" t="str" cm="1">
        <f t="array" aca="1" ref="O190" ca="1">IF(INDIRECT("'"&amp;B190&amp;"'!N"&amp;C190)=0,"N/A",INDIRECT("'"&amp;B190&amp;"'!N"&amp;C190))</f>
        <v>Yes/Partial/No</v>
      </c>
      <c r="P190" s="527" t="str" cm="1">
        <f t="array" aca="1" ref="P190" ca="1">IF(INDIRECT("'"&amp;B190&amp;"'!L"&amp;C190)=0,"",INDIRECT("'"&amp;B190&amp;"'!L"&amp;C190))</f>
        <v/>
      </c>
      <c r="Q190" s="527" t="str">
        <f t="shared" ca="1" si="16"/>
        <v/>
      </c>
      <c r="R190" s="563" t="str">
        <f t="shared" ca="1" si="17"/>
        <v>Yes</v>
      </c>
      <c r="S190" s="528" t="s">
        <v>1575</v>
      </c>
      <c r="T190" s="529" t="str">
        <f t="shared" si="18"/>
        <v/>
      </c>
      <c r="U190" s="529" t="str">
        <f t="shared" si="19"/>
        <v>X</v>
      </c>
      <c r="V190" s="529" t="str">
        <f t="shared" si="20"/>
        <v/>
      </c>
      <c r="W190" s="529" t="str">
        <f t="shared" si="21"/>
        <v/>
      </c>
      <c r="X190" s="529" t="str">
        <f t="shared" si="22"/>
        <v/>
      </c>
      <c r="Y190" s="529" t="str">
        <f t="shared" si="23"/>
        <v/>
      </c>
    </row>
    <row r="191" spans="1:25" x14ac:dyDescent="0.2">
      <c r="A191" s="253" t="s">
        <v>1132</v>
      </c>
      <c r="B191" s="253" t="s">
        <v>1618</v>
      </c>
      <c r="C191" s="253">
        <v>13</v>
      </c>
      <c r="D191" s="253" t="s">
        <v>1579</v>
      </c>
      <c r="E191" s="253">
        <v>2.9</v>
      </c>
      <c r="F191" s="253" t="s">
        <v>1571</v>
      </c>
      <c r="G191" s="215" t="str" cm="1">
        <f t="array" aca="1" ref="G191" ca="1">IF(INDIRECT("'"&amp;B191&amp;"'!B"&amp;C191)=0,"",INDIRECT("'"&amp;B191&amp;"'!B"&amp;C191))</f>
        <v>x</v>
      </c>
      <c r="H191" s="215" t="str" cm="1">
        <f t="array" aca="1" ref="H191" ca="1">IF(INDIRECT("'"&amp;B191&amp;"'!C"&amp;C191)=0,"",INDIRECT("'"&amp;B191&amp;"'!C"&amp;C191))</f>
        <v>x</v>
      </c>
      <c r="I191" s="215" t="str" cm="1">
        <f t="array" aca="1" ref="I191" ca="1">IF(INDIRECT("'"&amp;B191&amp;"'!D"&amp;C191)=0,"",INDIRECT("'"&amp;B191&amp;"'!D"&amp;C191))</f>
        <v>x</v>
      </c>
      <c r="J191" s="215" t="str" cm="1">
        <f t="array" aca="1" ref="J191" ca="1">IF(INDIRECT("'"&amp;B191&amp;"'!E"&amp;C191)=0,"",INDIRECT("'"&amp;B191&amp;"'!E"&amp;C191))</f>
        <v/>
      </c>
      <c r="K191" s="253" cm="1">
        <f t="array" aca="1" ref="K191" ca="1">IF(INDIRECT("'"&amp;B191&amp;"'!F"&amp;C191)=0,"N/A",INDIRECT("'"&amp;B191&amp;"'!F"&amp;C191))</f>
        <v>9</v>
      </c>
      <c r="L191" s="253" t="str" cm="1">
        <f t="array" aca="1" ref="L191" ca="1">IF(INDIRECT("'"&amp;B191&amp;"'!G"&amp;C191)=0,"N/A",INDIRECT("'"&amp;B191&amp;"'!G"&amp;C191))</f>
        <v>2(2)</v>
      </c>
      <c r="M191" s="253" t="str" cm="1">
        <f t="array" aca="1" ref="M191" ca="1">IF(INDIRECT("'"&amp;B191&amp;"'!H"&amp;C191)=0,"N/A",INDIRECT("'"&amp;B191&amp;"'!H"&amp;C191))</f>
        <v>9 #2(2)</v>
      </c>
      <c r="N191" s="221" t="str" cm="1">
        <f t="array" aca="1" ref="N191" ca="1">IF(INDIRECT("'"&amp;B191&amp;"'!I"&amp;C191)=0,"N/A",INDIRECT("'"&amp;B191&amp;"'!I"&amp;C191))</f>
        <v>มีการเข้ารหัสข้อมูลที่เป็นความลับและมีความสำคัญ ที่รับส่งผ่านระบบเครือข่ายสื่อสาร</v>
      </c>
      <c r="O191" s="533" t="str" cm="1">
        <f t="array" aca="1" ref="O191" ca="1">IF(INDIRECT("'"&amp;B191&amp;"'!N"&amp;C191)=0,"N/A",INDIRECT("'"&amp;B191&amp;"'!N"&amp;C191))</f>
        <v>Yes/Partial/No</v>
      </c>
      <c r="P191" s="527" t="str" cm="1">
        <f t="array" aca="1" ref="P191" ca="1">IF(INDIRECT("'"&amp;B191&amp;"'!L"&amp;C191)=0,"",INDIRECT("'"&amp;B191&amp;"'!L"&amp;C191))</f>
        <v/>
      </c>
      <c r="Q191" s="527" t="str">
        <f t="shared" ca="1" si="16"/>
        <v/>
      </c>
      <c r="R191" s="563" t="str">
        <f t="shared" ca="1" si="17"/>
        <v>Yes</v>
      </c>
      <c r="S191" s="528" t="s">
        <v>1608</v>
      </c>
      <c r="T191" s="529" t="str">
        <f t="shared" si="18"/>
        <v/>
      </c>
      <c r="U191" s="529" t="str">
        <f t="shared" si="19"/>
        <v/>
      </c>
      <c r="V191" s="529" t="str">
        <f t="shared" si="20"/>
        <v>X</v>
      </c>
      <c r="W191" s="529" t="str">
        <f t="shared" si="21"/>
        <v/>
      </c>
      <c r="X191" s="529" t="str">
        <f t="shared" si="22"/>
        <v/>
      </c>
      <c r="Y191" s="529" t="str">
        <f t="shared" si="23"/>
        <v/>
      </c>
    </row>
    <row r="192" spans="1:25" ht="25.05" x14ac:dyDescent="0.2">
      <c r="A192" s="253" t="s">
        <v>1136</v>
      </c>
      <c r="B192" s="253" t="s">
        <v>1618</v>
      </c>
      <c r="C192" s="253">
        <v>14</v>
      </c>
      <c r="D192" s="253" t="s">
        <v>1579</v>
      </c>
      <c r="E192" s="253">
        <v>2.9</v>
      </c>
      <c r="F192" s="253" t="s">
        <v>1571</v>
      </c>
      <c r="G192" s="215" t="str" cm="1">
        <f t="array" aca="1" ref="G192" ca="1">IF(INDIRECT("'"&amp;B192&amp;"'!B"&amp;C192)=0,"",INDIRECT("'"&amp;B192&amp;"'!B"&amp;C192))</f>
        <v>x</v>
      </c>
      <c r="H192" s="215" t="str" cm="1">
        <f t="array" aca="1" ref="H192" ca="1">IF(INDIRECT("'"&amp;B192&amp;"'!C"&amp;C192)=0,"",INDIRECT("'"&amp;B192&amp;"'!C"&amp;C192))</f>
        <v>x</v>
      </c>
      <c r="I192" s="215" t="str" cm="1">
        <f t="array" aca="1" ref="I192" ca="1">IF(INDIRECT("'"&amp;B192&amp;"'!D"&amp;C192)=0,"",INDIRECT("'"&amp;B192&amp;"'!D"&amp;C192))</f>
        <v>x</v>
      </c>
      <c r="J192" s="215" t="str" cm="1">
        <f t="array" aca="1" ref="J192" ca="1">IF(INDIRECT("'"&amp;B192&amp;"'!E"&amp;C192)=0,"",INDIRECT("'"&amp;B192&amp;"'!E"&amp;C192))</f>
        <v/>
      </c>
      <c r="K192" s="253" cm="1">
        <f t="array" aca="1" ref="K192" ca="1">IF(INDIRECT("'"&amp;B192&amp;"'!F"&amp;C192)=0,"N/A",INDIRECT("'"&amp;B192&amp;"'!F"&amp;C192))</f>
        <v>9</v>
      </c>
      <c r="L192" s="253" t="str" cm="1">
        <f t="array" aca="1" ref="L192" ca="1">IF(INDIRECT("'"&amp;B192&amp;"'!G"&amp;C192)=0,"N/A",INDIRECT("'"&amp;B192&amp;"'!G"&amp;C192))</f>
        <v>2(3)</v>
      </c>
      <c r="M192" s="253" t="str" cm="1">
        <f t="array" aca="1" ref="M192" ca="1">IF(INDIRECT("'"&amp;B192&amp;"'!H"&amp;C192)=0,"N/A",INDIRECT("'"&amp;B192&amp;"'!H"&amp;C192))</f>
        <v>9 #2(3)</v>
      </c>
      <c r="N192" s="221" t="str" cm="1">
        <f t="array" aca="1" ref="N192" ca="1">IF(INDIRECT("'"&amp;B192&amp;"'!I"&amp;C192)=0,"N/A",INDIRECT("'"&amp;B192&amp;"'!I"&amp;C192))</f>
        <v xml:space="preserve">มีการป้องกันข้อมูลที่มีชั้นความลับหรือมีความสำคัญที่รับส่งในรูปแบบของไฟล์แนบ (attachment files) และการส่งต่ออีเมลแบบอัตโนมัติ (auto forward mail) ออกสู่ภายนอกองค์กร </v>
      </c>
      <c r="O192" s="533" t="str" cm="1">
        <f t="array" aca="1" ref="O192" ca="1">IF(INDIRECT("'"&amp;B192&amp;"'!N"&amp;C192)=0,"N/A",INDIRECT("'"&amp;B192&amp;"'!N"&amp;C192))</f>
        <v>Yes/Partial/No</v>
      </c>
      <c r="P192" s="527" t="str" cm="1">
        <f t="array" aca="1" ref="P192" ca="1">IF(INDIRECT("'"&amp;B192&amp;"'!L"&amp;C192)=0,"",INDIRECT("'"&amp;B192&amp;"'!L"&amp;C192))</f>
        <v/>
      </c>
      <c r="Q192" s="527" t="str">
        <f t="shared" ca="1" si="16"/>
        <v/>
      </c>
      <c r="R192" s="563" t="str">
        <f t="shared" ca="1" si="17"/>
        <v>Yes</v>
      </c>
      <c r="S192" s="528" t="s">
        <v>1611</v>
      </c>
      <c r="T192" s="529" t="str">
        <f t="shared" si="18"/>
        <v/>
      </c>
      <c r="U192" s="529" t="str">
        <f t="shared" si="19"/>
        <v/>
      </c>
      <c r="V192" s="529" t="str">
        <f t="shared" si="20"/>
        <v>X</v>
      </c>
      <c r="W192" s="529" t="str">
        <f t="shared" si="21"/>
        <v>X</v>
      </c>
      <c r="X192" s="529" t="str">
        <f t="shared" si="22"/>
        <v/>
      </c>
      <c r="Y192" s="529" t="str">
        <f t="shared" si="23"/>
        <v/>
      </c>
    </row>
    <row r="193" spans="1:25" ht="37.6" x14ac:dyDescent="0.2">
      <c r="A193" s="253" t="s">
        <v>1140</v>
      </c>
      <c r="B193" s="253" t="s">
        <v>1618</v>
      </c>
      <c r="C193" s="253">
        <v>15</v>
      </c>
      <c r="D193" s="253" t="s">
        <v>1579</v>
      </c>
      <c r="E193" s="253">
        <v>2.9</v>
      </c>
      <c r="F193" s="253" t="s">
        <v>1571</v>
      </c>
      <c r="G193" s="215" t="str" cm="1">
        <f t="array" aca="1" ref="G193" ca="1">IF(INDIRECT("'"&amp;B193&amp;"'!B"&amp;C193)=0,"",INDIRECT("'"&amp;B193&amp;"'!B"&amp;C193))</f>
        <v>x</v>
      </c>
      <c r="H193" s="215" t="str" cm="1">
        <f t="array" aca="1" ref="H193" ca="1">IF(INDIRECT("'"&amp;B193&amp;"'!C"&amp;C193)=0,"",INDIRECT("'"&amp;B193&amp;"'!C"&amp;C193))</f>
        <v>x</v>
      </c>
      <c r="I193" s="215" t="str" cm="1">
        <f t="array" aca="1" ref="I193" ca="1">IF(INDIRECT("'"&amp;B193&amp;"'!D"&amp;C193)=0,"",INDIRECT("'"&amp;B193&amp;"'!D"&amp;C193))</f>
        <v>x</v>
      </c>
      <c r="J193" s="215" t="str" cm="1">
        <f t="array" aca="1" ref="J193" ca="1">IF(INDIRECT("'"&amp;B193&amp;"'!E"&amp;C193)=0,"",INDIRECT("'"&amp;B193&amp;"'!E"&amp;C193))</f>
        <v/>
      </c>
      <c r="K193" s="253" cm="1">
        <f t="array" aca="1" ref="K193" ca="1">IF(INDIRECT("'"&amp;B193&amp;"'!F"&amp;C193)=0,"N/A",INDIRECT("'"&amp;B193&amp;"'!F"&amp;C193))</f>
        <v>9</v>
      </c>
      <c r="L193" s="253" t="str" cm="1">
        <f t="array" aca="1" ref="L193" ca="1">IF(INDIRECT("'"&amp;B193&amp;"'!G"&amp;C193)=0,"N/A",INDIRECT("'"&amp;B193&amp;"'!G"&amp;C193))</f>
        <v>3(1)</v>
      </c>
      <c r="M193" s="253" t="str" cm="1">
        <f t="array" aca="1" ref="M193" ca="1">IF(INDIRECT("'"&amp;B193&amp;"'!H"&amp;C193)=0,"N/A",INDIRECT("'"&amp;B193&amp;"'!H"&amp;C193))</f>
        <v>9 #3(1)</v>
      </c>
      <c r="N193" s="221" t="str" cm="1">
        <f t="array" aca="1" ref="N193" ca="1">IF(INDIRECT("'"&amp;B193&amp;"'!I"&amp;C193)=0,"N/A",INDIRECT("'"&amp;B193&amp;"'!I"&amp;C193))</f>
        <v xml:space="preserve">มีการกำหนดมาตรการในการรักษาความมั่นคงปลอดภัยของข้อมูลสารสนเทศที่รับส่งผ่านระบบเครือข่ายสื่อสาร  (electronic messaging) เพื่อป้องกันการเปลี่ยนแปลงแก้ไข ทําความเสียหาย หรือเข้าถึงข้อมูลในระบบ electronic messaging ดังกล่าวโดยไม่ได้รับอนุญาต </v>
      </c>
      <c r="O193" s="533" t="str" cm="1">
        <f t="array" aca="1" ref="O193" ca="1">IF(INDIRECT("'"&amp;B193&amp;"'!N"&amp;C193)=0,"N/A",INDIRECT("'"&amp;B193&amp;"'!N"&amp;C193))</f>
        <v>Yes/Partial/No</v>
      </c>
      <c r="P193" s="527" t="str" cm="1">
        <f t="array" aca="1" ref="P193" ca="1">IF(INDIRECT("'"&amp;B193&amp;"'!L"&amp;C193)=0,"",INDIRECT("'"&amp;B193&amp;"'!L"&amp;C193))</f>
        <v/>
      </c>
      <c r="Q193" s="527" t="str">
        <f t="shared" ca="1" si="16"/>
        <v/>
      </c>
      <c r="R193" s="563" t="str">
        <f t="shared" ca="1" si="17"/>
        <v>Yes</v>
      </c>
      <c r="S193" s="528" t="s">
        <v>1580</v>
      </c>
      <c r="T193" s="529" t="str">
        <f t="shared" si="18"/>
        <v/>
      </c>
      <c r="U193" s="529" t="str">
        <f t="shared" si="19"/>
        <v/>
      </c>
      <c r="V193" s="529" t="str">
        <f t="shared" si="20"/>
        <v>X</v>
      </c>
      <c r="W193" s="529" t="str">
        <f t="shared" si="21"/>
        <v/>
      </c>
      <c r="X193" s="529" t="str">
        <f t="shared" si="22"/>
        <v/>
      </c>
      <c r="Y193" s="529" t="str">
        <f t="shared" si="23"/>
        <v/>
      </c>
    </row>
    <row r="194" spans="1:25" ht="25.05" x14ac:dyDescent="0.2">
      <c r="A194" s="253" t="s">
        <v>1144</v>
      </c>
      <c r="B194" s="253" t="s">
        <v>1618</v>
      </c>
      <c r="C194" s="253">
        <v>16</v>
      </c>
      <c r="D194" s="253" t="s">
        <v>1579</v>
      </c>
      <c r="E194" s="253">
        <v>2.9</v>
      </c>
      <c r="F194" s="253" t="s">
        <v>1571</v>
      </c>
      <c r="G194" s="215" t="str" cm="1">
        <f t="array" aca="1" ref="G194" ca="1">IF(INDIRECT("'"&amp;B194&amp;"'!B"&amp;C194)=0,"",INDIRECT("'"&amp;B194&amp;"'!B"&amp;C194))</f>
        <v>x</v>
      </c>
      <c r="H194" s="215" t="str" cm="1">
        <f t="array" aca="1" ref="H194" ca="1">IF(INDIRECT("'"&amp;B194&amp;"'!C"&amp;C194)=0,"",INDIRECT("'"&amp;B194&amp;"'!C"&amp;C194))</f>
        <v>x</v>
      </c>
      <c r="I194" s="215" t="str" cm="1">
        <f t="array" aca="1" ref="I194" ca="1">IF(INDIRECT("'"&amp;B194&amp;"'!D"&amp;C194)=0,"",INDIRECT("'"&amp;B194&amp;"'!D"&amp;C194))</f>
        <v>x</v>
      </c>
      <c r="J194" s="215" t="str" cm="1">
        <f t="array" aca="1" ref="J194" ca="1">IF(INDIRECT("'"&amp;B194&amp;"'!E"&amp;C194)=0,"",INDIRECT("'"&amp;B194&amp;"'!E"&amp;C194))</f>
        <v/>
      </c>
      <c r="K194" s="253" cm="1">
        <f t="array" aca="1" ref="K194" ca="1">IF(INDIRECT("'"&amp;B194&amp;"'!F"&amp;C194)=0,"N/A",INDIRECT("'"&amp;B194&amp;"'!F"&amp;C194))</f>
        <v>9</v>
      </c>
      <c r="L194" s="253" t="str" cm="1">
        <f t="array" aca="1" ref="L194" ca="1">IF(INDIRECT("'"&amp;B194&amp;"'!G"&amp;C194)=0,"N/A",INDIRECT("'"&amp;B194&amp;"'!G"&amp;C194))</f>
        <v>3(2)</v>
      </c>
      <c r="M194" s="253" t="str" cm="1">
        <f t="array" aca="1" ref="M194" ca="1">IF(INDIRECT("'"&amp;B194&amp;"'!H"&amp;C194)=0,"N/A",INDIRECT("'"&amp;B194&amp;"'!H"&amp;C194))</f>
        <v>9 #3(2)</v>
      </c>
      <c r="N194" s="221" t="str" cm="1">
        <f t="array" aca="1" ref="N194" ca="1">IF(INDIRECT("'"&amp;B194&amp;"'!I"&amp;C194)=0,"N/A",INDIRECT("'"&amp;B194&amp;"'!I"&amp;C194))</f>
        <v>มีกระบวนการยืนยันตัวตนผู้ใช้งานที่เหมาะสม โดยใช้วิธีการที่เข้มงวดในกรณีที่ใช้งานระบบรับส่งข้อมูลสารสนเทศผ่านระบบเครือข่ายสื่อสาร (ระบบ electronic messaging) ผ่านเครือข่ายสาธารณะ</v>
      </c>
      <c r="O194" s="533" t="str" cm="1">
        <f t="array" aca="1" ref="O194" ca="1">IF(INDIRECT("'"&amp;B194&amp;"'!N"&amp;C194)=0,"N/A",INDIRECT("'"&amp;B194&amp;"'!N"&amp;C194))</f>
        <v>Yes/Partial/No</v>
      </c>
      <c r="P194" s="527" t="str" cm="1">
        <f t="array" aca="1" ref="P194" ca="1">IF(INDIRECT("'"&amp;B194&amp;"'!L"&amp;C194)=0,"",INDIRECT("'"&amp;B194&amp;"'!L"&amp;C194))</f>
        <v/>
      </c>
      <c r="Q194" s="527" t="str">
        <f t="shared" ca="1" si="16"/>
        <v/>
      </c>
      <c r="R194" s="563" t="str">
        <f t="shared" ca="1" si="17"/>
        <v>Yes</v>
      </c>
      <c r="S194" s="528" t="s">
        <v>1580</v>
      </c>
      <c r="T194" s="529" t="str">
        <f t="shared" si="18"/>
        <v/>
      </c>
      <c r="U194" s="529" t="str">
        <f t="shared" si="19"/>
        <v/>
      </c>
      <c r="V194" s="529" t="str">
        <f t="shared" si="20"/>
        <v>X</v>
      </c>
      <c r="W194" s="529" t="str">
        <f t="shared" si="21"/>
        <v/>
      </c>
      <c r="X194" s="529" t="str">
        <f t="shared" si="22"/>
        <v/>
      </c>
      <c r="Y194" s="529" t="str">
        <f t="shared" si="23"/>
        <v/>
      </c>
    </row>
    <row r="195" spans="1:25" ht="62.65" x14ac:dyDescent="0.2">
      <c r="A195" s="253" t="s">
        <v>1148</v>
      </c>
      <c r="B195" s="253" t="s">
        <v>1618</v>
      </c>
      <c r="C195" s="253">
        <v>17</v>
      </c>
      <c r="D195" s="253" t="s">
        <v>1579</v>
      </c>
      <c r="E195" s="253">
        <v>2.9</v>
      </c>
      <c r="F195" s="253" t="s">
        <v>1571</v>
      </c>
      <c r="G195" s="215" t="str" cm="1">
        <f t="array" aca="1" ref="G195" ca="1">IF(INDIRECT("'"&amp;B195&amp;"'!B"&amp;C195)=0,"",INDIRECT("'"&amp;B195&amp;"'!B"&amp;C195))</f>
        <v>x</v>
      </c>
      <c r="H195" s="215" t="str" cm="1">
        <f t="array" aca="1" ref="H195" ca="1">IF(INDIRECT("'"&amp;B195&amp;"'!C"&amp;C195)=0,"",INDIRECT("'"&amp;B195&amp;"'!C"&amp;C195))</f>
        <v>x</v>
      </c>
      <c r="I195" s="215" t="str" cm="1">
        <f t="array" aca="1" ref="I195" ca="1">IF(INDIRECT("'"&amp;B195&amp;"'!D"&amp;C195)=0,"",INDIRECT("'"&amp;B195&amp;"'!D"&amp;C195))</f>
        <v>x</v>
      </c>
      <c r="J195" s="215" t="str" cm="1">
        <f t="array" aca="1" ref="J195" ca="1">IF(INDIRECT("'"&amp;B195&amp;"'!E"&amp;C195)=0,"",INDIRECT("'"&amp;B195&amp;"'!E"&amp;C195))</f>
        <v/>
      </c>
      <c r="K195" s="253" cm="1">
        <f t="array" aca="1" ref="K195" ca="1">IF(INDIRECT("'"&amp;B195&amp;"'!F"&amp;C195)=0,"N/A",INDIRECT("'"&amp;B195&amp;"'!F"&amp;C195))</f>
        <v>9</v>
      </c>
      <c r="L195" s="253" t="str" cm="1">
        <f t="array" aca="1" ref="L195" ca="1">IF(INDIRECT("'"&amp;B195&amp;"'!G"&amp;C195)=0,"N/A",INDIRECT("'"&amp;B195&amp;"'!G"&amp;C195))</f>
        <v>3((3)</v>
      </c>
      <c r="M195" s="253" t="str" cm="1">
        <f t="array" aca="1" ref="M195" ca="1">IF(INDIRECT("'"&amp;B195&amp;"'!H"&amp;C195)=0,"N/A",INDIRECT("'"&amp;B195&amp;"'!H"&amp;C195))</f>
        <v>9 #3(3)</v>
      </c>
      <c r="N195" s="221" t="str" cm="1">
        <f t="array" aca="1" ref="N195" ca="1">IF(INDIRECT("'"&amp;B195&amp;"'!I"&amp;C195)=0,"N/A",INDIRECT("'"&amp;B195&amp;"'!I"&amp;C195))</f>
        <v>มีการควบคุมดูแลการใช้งานระบบรับส่งข้อมูลสารสนเทศผ่านระบบเครือข่ายสื่อสาร (ระบบ electronic messaging) ที่ให้บริการโดยบุคคลภายนอกอย่างเหมาะสมเพียงพอ  เช่น โปรแกรมสนทนาผ่านระบบอิเล็กทรอนิกส์ (instant messaging) ระบบเครือข่ายสังคมออนไลน์ (social networking) หรือโปรแกรมเรียกใช้แฟ้มข้อมูลร่วมกัน (file sharing) เป็นต้น อย่างเหมาะสมเพียงพอ เช่น มีการขออนุมัติก่อนการใช้งาน รวมถึงควรปฏิบัติตามกฎหมายและหลักเกณฑ์ของทางการอย่างเคร่งครัด</v>
      </c>
      <c r="O195" s="533" t="str" cm="1">
        <f t="array" aca="1" ref="O195" ca="1">IF(INDIRECT("'"&amp;B195&amp;"'!N"&amp;C195)=0,"N/A",INDIRECT("'"&amp;B195&amp;"'!N"&amp;C195))</f>
        <v>Yes/Partial/No</v>
      </c>
      <c r="P195" s="527" t="str" cm="1">
        <f t="array" aca="1" ref="P195" ca="1">IF(INDIRECT("'"&amp;B195&amp;"'!L"&amp;C195)=0,"",INDIRECT("'"&amp;B195&amp;"'!L"&amp;C195))</f>
        <v/>
      </c>
      <c r="Q195" s="527" t="str">
        <f t="shared" ca="1" si="16"/>
        <v/>
      </c>
      <c r="R195" s="563" t="str">
        <f t="shared" ref="R195:R258" ca="1" si="24">IF(OR(P195="", P195="N/A"), "Yes", "")</f>
        <v>Yes</v>
      </c>
      <c r="S195" s="528" t="s">
        <v>1621</v>
      </c>
      <c r="T195" s="529" t="str">
        <f t="shared" si="18"/>
        <v>X</v>
      </c>
      <c r="U195" s="529" t="str">
        <f t="shared" si="19"/>
        <v>X</v>
      </c>
      <c r="V195" s="529" t="str">
        <f t="shared" si="20"/>
        <v>X</v>
      </c>
      <c r="W195" s="529" t="str">
        <f t="shared" si="21"/>
        <v/>
      </c>
      <c r="X195" s="529" t="str">
        <f t="shared" si="22"/>
        <v/>
      </c>
      <c r="Y195" s="529" t="str">
        <f t="shared" si="23"/>
        <v/>
      </c>
    </row>
    <row r="196" spans="1:25" ht="25.05" x14ac:dyDescent="0.2">
      <c r="A196" s="253" t="s">
        <v>1153</v>
      </c>
      <c r="B196" s="253" t="s">
        <v>1618</v>
      </c>
      <c r="C196" s="253">
        <v>18</v>
      </c>
      <c r="D196" s="253" t="s">
        <v>1579</v>
      </c>
      <c r="E196" s="253">
        <v>2.9</v>
      </c>
      <c r="F196" s="253" t="s">
        <v>1571</v>
      </c>
      <c r="G196" s="215" t="str" cm="1">
        <f t="array" aca="1" ref="G196" ca="1">IF(INDIRECT("'"&amp;B196&amp;"'!B"&amp;C196)=0,"",INDIRECT("'"&amp;B196&amp;"'!B"&amp;C196))</f>
        <v>x</v>
      </c>
      <c r="H196" s="215" t="str" cm="1">
        <f t="array" aca="1" ref="H196" ca="1">IF(INDIRECT("'"&amp;B196&amp;"'!C"&amp;C196)=0,"",INDIRECT("'"&amp;B196&amp;"'!C"&amp;C196))</f>
        <v>x</v>
      </c>
      <c r="I196" s="215" t="str" cm="1">
        <f t="array" aca="1" ref="I196" ca="1">IF(INDIRECT("'"&amp;B196&amp;"'!D"&amp;C196)=0,"",INDIRECT("'"&amp;B196&amp;"'!D"&amp;C196))</f>
        <v>x</v>
      </c>
      <c r="J196" s="215" t="str" cm="1">
        <f t="array" aca="1" ref="J196" ca="1">IF(INDIRECT("'"&amp;B196&amp;"'!E"&amp;C196)=0,"",INDIRECT("'"&amp;B196&amp;"'!E"&amp;C196))</f>
        <v/>
      </c>
      <c r="K196" s="253" cm="1">
        <f t="array" aca="1" ref="K196" ca="1">IF(INDIRECT("'"&amp;B196&amp;"'!F"&amp;C196)=0,"N/A",INDIRECT("'"&amp;B196&amp;"'!F"&amp;C196))</f>
        <v>9</v>
      </c>
      <c r="L196" s="253" t="str" cm="1">
        <f t="array" aca="1" ref="L196" ca="1">IF(INDIRECT("'"&amp;B196&amp;"'!G"&amp;C196)=0,"N/A",INDIRECT("'"&amp;B196&amp;"'!G"&amp;C196))</f>
        <v>3(4)</v>
      </c>
      <c r="M196" s="253" t="str" cm="1">
        <f t="array" aca="1" ref="M196" ca="1">IF(INDIRECT("'"&amp;B196&amp;"'!H"&amp;C196)=0,"N/A",INDIRECT("'"&amp;B196&amp;"'!H"&amp;C196))</f>
        <v>9 #3(4)</v>
      </c>
      <c r="N196" s="221" t="str" cm="1">
        <f t="array" aca="1" ref="N196" ca="1">IF(INDIRECT("'"&amp;B196&amp;"'!I"&amp;C196)=0,"N/A",INDIRECT("'"&amp;B196&amp;"'!I"&amp;C196))</f>
        <v>มีมาตรการคัดกรอง (filter) อีเมลที่มีความเสี่ยงต่อการเกิดภัยคุกคามทางไซเบอร์ เช่น อีเมลที่มีไฟล์แนบชนิด .exe เป็นต้น</v>
      </c>
      <c r="O196" s="533" t="str" cm="1">
        <f t="array" aca="1" ref="O196" ca="1">IF(INDIRECT("'"&amp;B196&amp;"'!N"&amp;C196)=0,"N/A",INDIRECT("'"&amp;B196&amp;"'!N"&amp;C196))</f>
        <v>Yes/Partial/No</v>
      </c>
      <c r="P196" s="527" t="str" cm="1">
        <f t="array" aca="1" ref="P196" ca="1">IF(INDIRECT("'"&amp;B196&amp;"'!L"&amp;C196)=0,"",INDIRECT("'"&amp;B196&amp;"'!L"&amp;C196))</f>
        <v/>
      </c>
      <c r="Q196" s="527" t="str">
        <f t="shared" ref="Q196:Q259" ca="1" si="25">IF(P196="N/A","N/A",IF(OR(P196="No",P196="M1"),1,IF(OR(P196="Partial",P196="M2"),2,IF(OR(P196="Yes",P196="M3"),3,IF(P196="M4",3,IF(P196="M5",3,""))))))</f>
        <v/>
      </c>
      <c r="R196" s="563" t="str">
        <f t="shared" ca="1" si="24"/>
        <v>Yes</v>
      </c>
      <c r="S196" s="528" t="s">
        <v>1622</v>
      </c>
      <c r="T196" s="529" t="str">
        <f t="shared" si="18"/>
        <v/>
      </c>
      <c r="U196" s="529" t="str">
        <f t="shared" si="19"/>
        <v/>
      </c>
      <c r="V196" s="529" t="str">
        <f t="shared" si="20"/>
        <v>X</v>
      </c>
      <c r="W196" s="529" t="str">
        <f t="shared" si="21"/>
        <v>X</v>
      </c>
      <c r="X196" s="529" t="str">
        <f t="shared" si="22"/>
        <v/>
      </c>
      <c r="Y196" s="529" t="str">
        <f t="shared" si="23"/>
        <v/>
      </c>
    </row>
    <row r="197" spans="1:25" ht="25.05" x14ac:dyDescent="0.2">
      <c r="A197" s="253" t="s">
        <v>1157</v>
      </c>
      <c r="B197" s="253" t="s">
        <v>1618</v>
      </c>
      <c r="C197" s="253">
        <v>19</v>
      </c>
      <c r="D197" s="253" t="s">
        <v>1579</v>
      </c>
      <c r="E197" s="253">
        <v>2.9</v>
      </c>
      <c r="F197" s="253" t="s">
        <v>1574</v>
      </c>
      <c r="G197" s="215" t="str" cm="1">
        <f t="array" aca="1" ref="G197" ca="1">IF(INDIRECT("'"&amp;B197&amp;"'!B"&amp;C197)=0,"",INDIRECT("'"&amp;B197&amp;"'!B"&amp;C197))</f>
        <v>x</v>
      </c>
      <c r="H197" s="215" t="str" cm="1">
        <f t="array" aca="1" ref="H197" ca="1">IF(INDIRECT("'"&amp;B197&amp;"'!C"&amp;C197)=0,"",INDIRECT("'"&amp;B197&amp;"'!C"&amp;C197))</f>
        <v/>
      </c>
      <c r="I197" s="215" t="str" cm="1">
        <f t="array" aca="1" ref="I197" ca="1">IF(INDIRECT("'"&amp;B197&amp;"'!D"&amp;C197)=0,"",INDIRECT("'"&amp;B197&amp;"'!D"&amp;C197))</f>
        <v/>
      </c>
      <c r="J197" s="215" t="str" cm="1">
        <f t="array" aca="1" ref="J197" ca="1">IF(INDIRECT("'"&amp;B197&amp;"'!E"&amp;C197)=0,"",INDIRECT("'"&amp;B197&amp;"'!E"&amp;C197))</f>
        <v/>
      </c>
      <c r="K197" s="253" cm="1">
        <f t="array" aca="1" ref="K197" ca="1">IF(INDIRECT("'"&amp;B197&amp;"'!F"&amp;C197)=0,"N/A",INDIRECT("'"&amp;B197&amp;"'!F"&amp;C197))</f>
        <v>9</v>
      </c>
      <c r="L197" s="253" t="str" cm="1">
        <f t="array" aca="1" ref="L197" ca="1">IF(INDIRECT("'"&amp;B197&amp;"'!G"&amp;C197)=0,"N/A",INDIRECT("'"&amp;B197&amp;"'!G"&amp;C197))</f>
        <v>3(5)</v>
      </c>
      <c r="M197" s="253" t="str" cm="1">
        <f t="array" aca="1" ref="M197" ca="1">IF(INDIRECT("'"&amp;B197&amp;"'!H"&amp;C197)=0,"N/A",INDIRECT("'"&amp;B197&amp;"'!H"&amp;C197))</f>
        <v>9 #3(5)</v>
      </c>
      <c r="N197" s="221" t="str" cm="1">
        <f t="array" aca="1" ref="N197" ca="1">IF(INDIRECT("'"&amp;B197&amp;"'!I"&amp;C197)=0,"N/A",INDIRECT("'"&amp;B197&amp;"'!I"&amp;C197))</f>
        <v>มีกระบวนการหรือเครื่องมือจำลองสภาพแวดล้อมเสมือน (secure container/virtual environment) เพื่อวิเคราะห์พฤติกรรมการโจมตีจากข้อมูล และไฟล์แนบในอีเมลของผู้ใช้งาน</v>
      </c>
      <c r="O197" s="533" t="str" cm="1">
        <f t="array" aca="1" ref="O197" ca="1">IF(INDIRECT("'"&amp;B197&amp;"'!N"&amp;C197)=0,"N/A",INDIRECT("'"&amp;B197&amp;"'!N"&amp;C197))</f>
        <v>Yes/Partial/No</v>
      </c>
      <c r="P197" s="527" t="str" cm="1">
        <f t="array" aca="1" ref="P197" ca="1">IF(INDIRECT("'"&amp;B197&amp;"'!L"&amp;C197)=0,"",INDIRECT("'"&amp;B197&amp;"'!L"&amp;C197))</f>
        <v/>
      </c>
      <c r="Q197" s="527" t="str">
        <f t="shared" ca="1" si="25"/>
        <v/>
      </c>
      <c r="R197" s="563" t="str">
        <f t="shared" ca="1" si="24"/>
        <v>Yes</v>
      </c>
      <c r="S197" s="528" t="s">
        <v>1613</v>
      </c>
      <c r="T197" s="529" t="str">
        <f t="shared" ref="T197:T260" si="26">IF(ISNUMBER(SEARCH("(GV)",$S197)),"X","")</f>
        <v/>
      </c>
      <c r="U197" s="529" t="str">
        <f t="shared" ref="U197:U260" si="27">IF(ISNUMBER(SEARCH("(ID)",$S197)),"X","")</f>
        <v/>
      </c>
      <c r="V197" s="529" t="str">
        <f t="shared" ref="V197:V260" si="28">IF(ISNUMBER(SEARCH("(PR)",$S197)),"X","")</f>
        <v/>
      </c>
      <c r="W197" s="529" t="str">
        <f t="shared" ref="W197:W260" si="29">IF(ISNUMBER(SEARCH("(DE)",$S197)),"X","")</f>
        <v>X</v>
      </c>
      <c r="X197" s="529" t="str">
        <f t="shared" ref="X197:X260" si="30">IF(ISNUMBER(SEARCH("(RS)",$S197)),"X","")</f>
        <v/>
      </c>
      <c r="Y197" s="529" t="str">
        <f t="shared" ref="Y197:Y260" si="31">IF(ISNUMBER(SEARCH("(RC)",$S197)),"X","")</f>
        <v/>
      </c>
    </row>
    <row r="198" spans="1:25" ht="175.3" x14ac:dyDescent="0.2">
      <c r="A198" s="253" t="s">
        <v>1163</v>
      </c>
      <c r="B198" s="253" t="s">
        <v>1623</v>
      </c>
      <c r="C198" s="253">
        <v>5</v>
      </c>
      <c r="D198" s="253" t="s">
        <v>1579</v>
      </c>
      <c r="E198" s="534">
        <v>2.1</v>
      </c>
      <c r="F198" s="253" t="s">
        <v>1571</v>
      </c>
      <c r="G198" s="215" t="str" cm="1">
        <f t="array" aca="1" ref="G198" ca="1">IF(INDIRECT("'"&amp;B198&amp;"'!B"&amp;C198)=0,"",INDIRECT("'"&amp;B198&amp;"'!B"&amp;C198))</f>
        <v>x</v>
      </c>
      <c r="H198" s="215" t="str" cm="1">
        <f t="array" aca="1" ref="H198" ca="1">IF(INDIRECT("'"&amp;B198&amp;"'!C"&amp;C198)=0,"",INDIRECT("'"&amp;B198&amp;"'!C"&amp;C198))</f>
        <v>x</v>
      </c>
      <c r="I198" s="215" t="str" cm="1">
        <f t="array" aca="1" ref="I198" ca="1">IF(INDIRECT("'"&amp;B198&amp;"'!D"&amp;C198)=0,"",INDIRECT("'"&amp;B198&amp;"'!D"&amp;C198))</f>
        <v>x</v>
      </c>
      <c r="J198" s="215" t="str" cm="1">
        <f t="array" aca="1" ref="J198" ca="1">IF(INDIRECT("'"&amp;B198&amp;"'!E"&amp;C198)=0,"",INDIRECT("'"&amp;B198&amp;"'!E"&amp;C198))</f>
        <v/>
      </c>
      <c r="K198" s="253" cm="1">
        <f t="array" aca="1" ref="K198" ca="1">IF(INDIRECT("'"&amp;B198&amp;"'!F"&amp;C198)=0,"N/A",INDIRECT("'"&amp;B198&amp;"'!F"&amp;C198))</f>
        <v>10.1</v>
      </c>
      <c r="L198" s="253" t="str" cm="1">
        <f t="array" aca="1" ref="L198" ca="1">IF(INDIRECT("'"&amp;B198&amp;"'!G"&amp;C198)=0,"N/A",INDIRECT("'"&amp;B198&amp;"'!G"&amp;C198))</f>
        <v>1(1)</v>
      </c>
      <c r="M198" s="253" t="str" cm="1">
        <f t="array" aca="1" ref="M198" ca="1">IF(INDIRECT("'"&amp;B198&amp;"'!H"&amp;C198)=0,"N/A",INDIRECT("'"&amp;B198&amp;"'!H"&amp;C198))</f>
        <v>10.1 #1(1)</v>
      </c>
      <c r="N198" s="221" t="str" cm="1">
        <f t="array" aca="1" ref="N198" ca="1">IF(INDIRECT("'"&amp;B198&amp;"'!I"&amp;C198)=0,"N/A",INDIRECT("'"&amp;B198&amp;"'!I"&amp;C198))</f>
        <v xml:space="preserve">มีการกำหนดโครงสร้างการควบคุมและกำกับดูแลโครงการ (project governance) ที่ชัดเจน เพื่อให้มีการควบคุมดูแลโครงการให้สำเร็จเป็นไปตามแผนงานที่กำหนด โดยพิจารณาการจัดให้มีผู้รับผิดชอบในบทบาทหน้าที่ตามความจำเป็นและความเหมาะสม เช่น
    (1) คณะกรรมการกำกับดูแลโครงการ (project steering committee) มีบทบาทหน้าที่และความรับผิดชอบในการกำกับดูแลและติดตามความคืบหน้าของโครงการ รวมทั้งให้คำแนะนำ และพิจารณาตัดสินใจการดำเนินงานในโครงการที่สำคัญ เพื่อให้โครงการสามารถดำเนินการได้ตามแผนที่กำหนดไว้  โดยควรประกอบด้วยผู้บริหารจากหน่วยงานที่เกี่ยวข้อง และเจ้าของโครงการหรือผู้สนับสนุนโครงการ (project owner/project sponsor)  
    (2) หน่วยงานหรือทีมงานดูแลภาพรวมโครงการ (project management officer) มีบทบาทหน้าที่และความรับผิดชอบในการกำหนดรูปแบบ กระบวนการ และเครื่องมือที่เป็นมาตรฐานในการบริหารจัดการและติดตามความคืบหน้าของโครงการ รวมทั้งรายงานภาพรวมโครงการสำคัญของผู้ประกอบธุรกิจ ให้กับคณะกรรมการของผู้ประกอบธุรกิจ และผู้บริหารระดับสูงที่เกี่ยวข้องได้รับทราบ เพื่อให้โครงการบรรลุตามเป้าหมายที่กำหนดไว้
    (3) ผู้จัดการโครงการ (project manager) มีบทบาทหน้าที่และความรับผิดชอบในการบริหารจัดการโครงการให้เป็นไปตามระเบียบขั้นตอนการบริหารจัดการโครงการ เพื่อให้โครงการสามารถส่งมอบได้อย่างถูกต้องครบถ้วนและสำเร็จตามแผนงานที่กำหนด  </v>
      </c>
      <c r="O198" s="533" t="str" cm="1">
        <f t="array" aca="1" ref="O198" ca="1">IF(INDIRECT("'"&amp;B198&amp;"'!N"&amp;C198)=0,"N/A",INDIRECT("'"&amp;B198&amp;"'!N"&amp;C198))</f>
        <v>Yes/Partial/No</v>
      </c>
      <c r="P198" s="527" t="str" cm="1">
        <f t="array" aca="1" ref="P198" ca="1">IF(INDIRECT("'"&amp;B198&amp;"'!L"&amp;C198)=0,"",INDIRECT("'"&amp;B198&amp;"'!L"&amp;C198))</f>
        <v/>
      </c>
      <c r="Q198" s="527" t="str">
        <f t="shared" ca="1" si="25"/>
        <v/>
      </c>
      <c r="R198" s="563" t="str">
        <f t="shared" ca="1" si="24"/>
        <v>Yes</v>
      </c>
      <c r="S198" s="528" t="s">
        <v>1572</v>
      </c>
      <c r="T198" s="529" t="str">
        <f t="shared" si="26"/>
        <v>X</v>
      </c>
      <c r="U198" s="529" t="str">
        <f t="shared" si="27"/>
        <v/>
      </c>
      <c r="V198" s="529" t="str">
        <f t="shared" si="28"/>
        <v/>
      </c>
      <c r="W198" s="529" t="str">
        <f t="shared" si="29"/>
        <v/>
      </c>
      <c r="X198" s="529" t="str">
        <f t="shared" si="30"/>
        <v/>
      </c>
      <c r="Y198" s="529" t="str">
        <f t="shared" si="31"/>
        <v/>
      </c>
    </row>
    <row r="199" spans="1:25" ht="100.2" x14ac:dyDescent="0.2">
      <c r="A199" s="253" t="s">
        <v>1167</v>
      </c>
      <c r="B199" s="253" t="s">
        <v>1623</v>
      </c>
      <c r="C199" s="253">
        <v>6</v>
      </c>
      <c r="D199" s="253" t="s">
        <v>1579</v>
      </c>
      <c r="E199" s="534">
        <v>2.1</v>
      </c>
      <c r="F199" s="253" t="s">
        <v>1571</v>
      </c>
      <c r="G199" s="215" t="str" cm="1">
        <f t="array" aca="1" ref="G199" ca="1">IF(INDIRECT("'"&amp;B199&amp;"'!B"&amp;C199)=0,"",INDIRECT("'"&amp;B199&amp;"'!B"&amp;C199))</f>
        <v>x</v>
      </c>
      <c r="H199" s="215" t="str" cm="1">
        <f t="array" aca="1" ref="H199" ca="1">IF(INDIRECT("'"&amp;B199&amp;"'!C"&amp;C199)=0,"",INDIRECT("'"&amp;B199&amp;"'!C"&amp;C199))</f>
        <v>x</v>
      </c>
      <c r="I199" s="215" t="str" cm="1">
        <f t="array" aca="1" ref="I199" ca="1">IF(INDIRECT("'"&amp;B199&amp;"'!D"&amp;C199)=0,"",INDIRECT("'"&amp;B199&amp;"'!D"&amp;C199))</f>
        <v>x</v>
      </c>
      <c r="J199" s="215" t="str" cm="1">
        <f t="array" aca="1" ref="J199" ca="1">IF(INDIRECT("'"&amp;B199&amp;"'!E"&amp;C199)=0,"",INDIRECT("'"&amp;B199&amp;"'!E"&amp;C199))</f>
        <v/>
      </c>
      <c r="K199" s="253" cm="1">
        <f t="array" aca="1" ref="K199" ca="1">IF(INDIRECT("'"&amp;B199&amp;"'!F"&amp;C199)=0,"N/A",INDIRECT("'"&amp;B199&amp;"'!F"&amp;C199))</f>
        <v>10.1</v>
      </c>
      <c r="L199" s="253" t="str" cm="1">
        <f t="array" aca="1" ref="L199" ca="1">IF(INDIRECT("'"&amp;B199&amp;"'!G"&amp;C199)=0,"N/A",INDIRECT("'"&amp;B199&amp;"'!G"&amp;C199))</f>
        <v>1(2)</v>
      </c>
      <c r="M199" s="253" t="str" cm="1">
        <f t="array" aca="1" ref="M199" ca="1">IF(INDIRECT("'"&amp;B199&amp;"'!H"&amp;C199)=0,"N/A",INDIRECT("'"&amp;B199&amp;"'!H"&amp;C199))</f>
        <v>10.1 #1(2)</v>
      </c>
      <c r="N199" s="221" t="str" cm="1">
        <f t="array" aca="1" ref="N199" ca="1">IF(INDIRECT("'"&amp;B199&amp;"'!I"&amp;C199)=0,"N/A",INDIRECT("'"&amp;B199&amp;"'!I"&amp;C199))</f>
        <v>มีการกำหนดแนวทางการบริหารจัดการโครงการตั้งแต่เริ่มต้นโครงการจนกระทั่งส่งมอบงาน โดยมีรายละเอียดขั้นต่ำ ดังนี้
    (1) ระเบียบขั้นตอนการบริหารจัดการโครงการ (project management procedure) ครอบคลุมตั้งแต่ก่อนเริ่มโครงการ การดำเนินการและควบคุมโครงการ การปิดโครงการ และการสอบทานโครงการ
    (2) ปัจจัยและเกณฑ์ในการประเมินหรือจัดระดับความสำคัญของโครงการที่ชัดเจน รวมถึงขอบเขตอำนาจหน้าที่ในการอนุมัติและกำกับดูแลโครงการตามระดับความสำคัญของโครงการ
    (3) เอกสารหรือสิ่งส่งมอบในแต่ละขั้นตอนอย่างชัดเจน เช่น แผนการดำเนินโครงการ รายงานความคืบหน้า รายงานการปิดโครงการ เป็นต้น</v>
      </c>
      <c r="O199" s="533" t="str" cm="1">
        <f t="array" aca="1" ref="O199" ca="1">IF(INDIRECT("'"&amp;B199&amp;"'!N"&amp;C199)=0,"N/A",INDIRECT("'"&amp;B199&amp;"'!N"&amp;C199))</f>
        <v>Yes/Partial/No</v>
      </c>
      <c r="P199" s="527" t="str" cm="1">
        <f t="array" aca="1" ref="P199" ca="1">IF(INDIRECT("'"&amp;B199&amp;"'!L"&amp;C199)=0,"",INDIRECT("'"&amp;B199&amp;"'!L"&amp;C199))</f>
        <v/>
      </c>
      <c r="Q199" s="527" t="str">
        <f t="shared" ca="1" si="25"/>
        <v/>
      </c>
      <c r="R199" s="563" t="str">
        <f t="shared" ca="1" si="24"/>
        <v>Yes</v>
      </c>
      <c r="S199" s="528" t="s">
        <v>1624</v>
      </c>
      <c r="T199" s="529" t="str">
        <f t="shared" si="26"/>
        <v>X</v>
      </c>
      <c r="U199" s="529" t="str">
        <f t="shared" si="27"/>
        <v/>
      </c>
      <c r="V199" s="529" t="str">
        <f t="shared" si="28"/>
        <v/>
      </c>
      <c r="W199" s="529" t="str">
        <f t="shared" si="29"/>
        <v/>
      </c>
      <c r="X199" s="529" t="str">
        <f t="shared" si="30"/>
        <v/>
      </c>
      <c r="Y199" s="529" t="str">
        <f t="shared" si="31"/>
        <v/>
      </c>
    </row>
    <row r="200" spans="1:25" ht="75.150000000000006" x14ac:dyDescent="0.2">
      <c r="A200" s="253" t="s">
        <v>1171</v>
      </c>
      <c r="B200" s="253" t="s">
        <v>1623</v>
      </c>
      <c r="C200" s="253">
        <v>7</v>
      </c>
      <c r="D200" s="253" t="s">
        <v>1579</v>
      </c>
      <c r="E200" s="534">
        <v>2.1</v>
      </c>
      <c r="F200" s="253" t="s">
        <v>1571</v>
      </c>
      <c r="G200" s="215" t="str" cm="1">
        <f t="array" aca="1" ref="G200" ca="1">IF(INDIRECT("'"&amp;B200&amp;"'!B"&amp;C200)=0,"",INDIRECT("'"&amp;B200&amp;"'!B"&amp;C200))</f>
        <v>x</v>
      </c>
      <c r="H200" s="215" t="str" cm="1">
        <f t="array" aca="1" ref="H200" ca="1">IF(INDIRECT("'"&amp;B200&amp;"'!C"&amp;C200)=0,"",INDIRECT("'"&amp;B200&amp;"'!C"&amp;C200))</f>
        <v>x</v>
      </c>
      <c r="I200" s="215" t="str" cm="1">
        <f t="array" aca="1" ref="I200" ca="1">IF(INDIRECT("'"&amp;B200&amp;"'!D"&amp;C200)=0,"",INDIRECT("'"&amp;B200&amp;"'!D"&amp;C200))</f>
        <v>x</v>
      </c>
      <c r="J200" s="215" t="str" cm="1">
        <f t="array" aca="1" ref="J200" ca="1">IF(INDIRECT("'"&amp;B200&amp;"'!E"&amp;C200)=0,"",INDIRECT("'"&amp;B200&amp;"'!E"&amp;C200))</f>
        <v/>
      </c>
      <c r="K200" s="253" cm="1">
        <f t="array" aca="1" ref="K200" ca="1">IF(INDIRECT("'"&amp;B200&amp;"'!F"&amp;C200)=0,"N/A",INDIRECT("'"&amp;B200&amp;"'!F"&amp;C200))</f>
        <v>10.1</v>
      </c>
      <c r="L200" s="253" cm="1">
        <f t="array" aca="1" ref="L200" ca="1">IF(INDIRECT("'"&amp;B200&amp;"'!G"&amp;C200)=0,"N/A",INDIRECT("'"&amp;B200&amp;"'!G"&amp;C200))</f>
        <v>2</v>
      </c>
      <c r="M200" s="253" t="str" cm="1">
        <f t="array" aca="1" ref="M200" ca="1">IF(INDIRECT("'"&amp;B200&amp;"'!H"&amp;C200)=0,"N/A",INDIRECT("'"&amp;B200&amp;"'!H"&amp;C200))</f>
        <v>10.1 #2</v>
      </c>
      <c r="N200" s="221" t="str" cm="1">
        <f t="array" aca="1" ref="N200" ca="1">IF(INDIRECT("'"&amp;B200&amp;"'!I"&amp;C200)=0,"N/A",INDIRECT("'"&amp;B200&amp;"'!I"&amp;C200))</f>
        <v>มีการกำหนดขั้นตอน หรือ กระบวนการเริ่มโครงการ โดยครอบคลุมเรื่อง ดังนี้
    (1) ประเมินความจำเป็นและประโยชน์ที่คาดว่าจะได้รับ รวมถึงความเสี่ยงและผลกระทบที่อาจเกิดขึ้นต่อระบบและหน่วยงานที่เกี่ยวข้องกับโครงการ 
    (2) จัดทำแผนการดำเนินโครงการที่มีรายละเอียดครบถ้วนเพียงพอต่อการบริหารจัดการโครงการ
    (3) การนำเสนอแผนการดำเนินโครงการ เพื่อขออนุมัติโครงการต่อคณะกรรมการของผู้ประกอบธุรกิจ คณะกรรมการที่ได้รับมอบหมาย หรือผู้บริหารระดับสูง ตามขอบเขตในการอนุมัติที่กำหนดไว้</v>
      </c>
      <c r="O200" s="533" t="str" cm="1">
        <f t="array" aca="1" ref="O200" ca="1">IF(INDIRECT("'"&amp;B200&amp;"'!N"&amp;C200)=0,"N/A",INDIRECT("'"&amp;B200&amp;"'!N"&amp;C200))</f>
        <v>Yes/Partial/No</v>
      </c>
      <c r="P200" s="527" t="str" cm="1">
        <f t="array" aca="1" ref="P200" ca="1">IF(INDIRECT("'"&amp;B200&amp;"'!L"&amp;C200)=0,"",INDIRECT("'"&amp;B200&amp;"'!L"&amp;C200))</f>
        <v/>
      </c>
      <c r="Q200" s="527" t="str">
        <f t="shared" ca="1" si="25"/>
        <v/>
      </c>
      <c r="R200" s="563" t="str">
        <f t="shared" ca="1" si="24"/>
        <v>Yes</v>
      </c>
      <c r="S200" s="528" t="s">
        <v>1572</v>
      </c>
      <c r="T200" s="529" t="str">
        <f t="shared" si="26"/>
        <v>X</v>
      </c>
      <c r="U200" s="529" t="str">
        <f t="shared" si="27"/>
        <v/>
      </c>
      <c r="V200" s="529" t="str">
        <f t="shared" si="28"/>
        <v/>
      </c>
      <c r="W200" s="529" t="str">
        <f t="shared" si="29"/>
        <v/>
      </c>
      <c r="X200" s="529" t="str">
        <f t="shared" si="30"/>
        <v/>
      </c>
      <c r="Y200" s="529" t="str">
        <f t="shared" si="31"/>
        <v/>
      </c>
    </row>
    <row r="201" spans="1:25" ht="112.7" x14ac:dyDescent="0.2">
      <c r="A201" s="253" t="s">
        <v>1175</v>
      </c>
      <c r="B201" s="253" t="s">
        <v>1623</v>
      </c>
      <c r="C201" s="253">
        <v>8</v>
      </c>
      <c r="D201" s="253" t="s">
        <v>1579</v>
      </c>
      <c r="E201" s="534">
        <v>2.1</v>
      </c>
      <c r="F201" s="253" t="s">
        <v>1571</v>
      </c>
      <c r="G201" s="215" t="str" cm="1">
        <f t="array" aca="1" ref="G201" ca="1">IF(INDIRECT("'"&amp;B201&amp;"'!B"&amp;C201)=0,"",INDIRECT("'"&amp;B201&amp;"'!B"&amp;C201))</f>
        <v>x</v>
      </c>
      <c r="H201" s="215" t="str" cm="1">
        <f t="array" aca="1" ref="H201" ca="1">IF(INDIRECT("'"&amp;B201&amp;"'!C"&amp;C201)=0,"",INDIRECT("'"&amp;B201&amp;"'!C"&amp;C201))</f>
        <v>x</v>
      </c>
      <c r="I201" s="215" t="str" cm="1">
        <f t="array" aca="1" ref="I201" ca="1">IF(INDIRECT("'"&amp;B201&amp;"'!D"&amp;C201)=0,"",INDIRECT("'"&amp;B201&amp;"'!D"&amp;C201))</f>
        <v>x</v>
      </c>
      <c r="J201" s="215" t="str" cm="1">
        <f t="array" aca="1" ref="J201" ca="1">IF(INDIRECT("'"&amp;B201&amp;"'!E"&amp;C201)=0,"",INDIRECT("'"&amp;B201&amp;"'!E"&amp;C201))</f>
        <v/>
      </c>
      <c r="K201" s="253" cm="1">
        <f t="array" aca="1" ref="K201" ca="1">IF(INDIRECT("'"&amp;B201&amp;"'!F"&amp;C201)=0,"N/A",INDIRECT("'"&amp;B201&amp;"'!F"&amp;C201))</f>
        <v>10.1</v>
      </c>
      <c r="L201" s="253" cm="1">
        <f t="array" aca="1" ref="L201" ca="1">IF(INDIRECT("'"&amp;B201&amp;"'!G"&amp;C201)=0,"N/A",INDIRECT("'"&amp;B201&amp;"'!G"&amp;C201))</f>
        <v>3</v>
      </c>
      <c r="M201" s="253" t="str" cm="1">
        <f t="array" aca="1" ref="M201" ca="1">IF(INDIRECT("'"&amp;B201&amp;"'!H"&amp;C201)=0,"N/A",INDIRECT("'"&amp;B201&amp;"'!H"&amp;C201))</f>
        <v>10.1 #3</v>
      </c>
      <c r="N201" s="221" t="str" cm="1">
        <f t="array" aca="1" ref="N201" ca="1">IF(INDIRECT("'"&amp;B201&amp;"'!I"&amp;C201)=0,"N/A",INDIRECT("'"&amp;B201&amp;"'!I"&amp;C201))</f>
        <v>มีการกำหนดขั้นตอน หรือ กระบวนการดำเนินงานและควบคุมโครงการ โดยครอบคลุมเรื่อง ดังนี้
    (1) ติดตามและประเมินการดำเนินโครงการอย่างต่อเนื่องและครอบคลุมขอบเขต ระยะเวลา และทรัพยากรที่วางแผนไว้ 
    (2) ในกรณีที่มีการเปลี่ยนแปลงขอบเขต ระยะเวลาและหรือทรัพยากร หรือยกเลิกโครงการ ควรมีการนำเสนอเพื่อขออนุมัติการเปลี่ยนแปลงหรือยกเลิกโครงการ
    (3) รายงานความคืบหน้า ปัญหา อุปสรรคและข้อจำกัดในการดำเนินโครงการ ต่อคณะกรรมการกำกับดูแลโครงการหรือผู้บริหารระดับสูงที่ได้รับมอบหมายอย่างสม่ำเสมอ โดยโครงการที่ส่งผลกระทบต่อธุรกิจของผู้ประกอบธุรกิจอย่างมีนัยสำคัญ ควรได้รับการนำเสนอแก่คณะกรรมการของผู้ประกอบธุรกิจ หรือคณะกรรมการที่ได้รับมอบหมายจากคณะกรรมการของผู้ประกอบธุรกิจด้วย</v>
      </c>
      <c r="O201" s="533" t="str" cm="1">
        <f t="array" aca="1" ref="O201" ca="1">IF(INDIRECT("'"&amp;B201&amp;"'!N"&amp;C201)=0,"N/A",INDIRECT("'"&amp;B201&amp;"'!N"&amp;C201))</f>
        <v>Maturity</v>
      </c>
      <c r="P201" s="527" t="str" cm="1">
        <f t="array" aca="1" ref="P201" ca="1">IF(INDIRECT("'"&amp;B201&amp;"'!L"&amp;C201)=0,"",INDIRECT("'"&amp;B201&amp;"'!L"&amp;C201))</f>
        <v/>
      </c>
      <c r="Q201" s="527" t="str">
        <f t="shared" ca="1" si="25"/>
        <v/>
      </c>
      <c r="R201" s="563" t="str">
        <f t="shared" ca="1" si="24"/>
        <v>Yes</v>
      </c>
      <c r="S201" s="528" t="s">
        <v>1575</v>
      </c>
      <c r="T201" s="529" t="str">
        <f t="shared" si="26"/>
        <v/>
      </c>
      <c r="U201" s="529" t="str">
        <f t="shared" si="27"/>
        <v>X</v>
      </c>
      <c r="V201" s="529" t="str">
        <f t="shared" si="28"/>
        <v/>
      </c>
      <c r="W201" s="529" t="str">
        <f t="shared" si="29"/>
        <v/>
      </c>
      <c r="X201" s="529" t="str">
        <f t="shared" si="30"/>
        <v/>
      </c>
      <c r="Y201" s="529" t="str">
        <f t="shared" si="31"/>
        <v/>
      </c>
    </row>
    <row r="202" spans="1:25" ht="62.65" x14ac:dyDescent="0.2">
      <c r="A202" s="253" t="s">
        <v>1184</v>
      </c>
      <c r="B202" s="253" t="s">
        <v>1623</v>
      </c>
      <c r="C202" s="253">
        <v>9</v>
      </c>
      <c r="D202" s="253" t="s">
        <v>1579</v>
      </c>
      <c r="E202" s="534">
        <v>2.1</v>
      </c>
      <c r="F202" s="253" t="s">
        <v>1571</v>
      </c>
      <c r="G202" s="215" t="str" cm="1">
        <f t="array" aca="1" ref="G202" ca="1">IF(INDIRECT("'"&amp;B202&amp;"'!B"&amp;C202)=0,"",INDIRECT("'"&amp;B202&amp;"'!B"&amp;C202))</f>
        <v>x</v>
      </c>
      <c r="H202" s="215" t="str" cm="1">
        <f t="array" aca="1" ref="H202" ca="1">IF(INDIRECT("'"&amp;B202&amp;"'!C"&amp;C202)=0,"",INDIRECT("'"&amp;B202&amp;"'!C"&amp;C202))</f>
        <v>x</v>
      </c>
      <c r="I202" s="215" t="str" cm="1">
        <f t="array" aca="1" ref="I202" ca="1">IF(INDIRECT("'"&amp;B202&amp;"'!D"&amp;C202)=0,"",INDIRECT("'"&amp;B202&amp;"'!D"&amp;C202))</f>
        <v>x</v>
      </c>
      <c r="J202" s="215" t="str" cm="1">
        <f t="array" aca="1" ref="J202" ca="1">IF(INDIRECT("'"&amp;B202&amp;"'!E"&amp;C202)=0,"",INDIRECT("'"&amp;B202&amp;"'!E"&amp;C202))</f>
        <v/>
      </c>
      <c r="K202" s="253" cm="1">
        <f t="array" aca="1" ref="K202" ca="1">IF(INDIRECT("'"&amp;B202&amp;"'!F"&amp;C202)=0,"N/A",INDIRECT("'"&amp;B202&amp;"'!F"&amp;C202))</f>
        <v>10.1</v>
      </c>
      <c r="L202" s="253" cm="1">
        <f t="array" aca="1" ref="L202" ca="1">IF(INDIRECT("'"&amp;B202&amp;"'!G"&amp;C202)=0,"N/A",INDIRECT("'"&amp;B202&amp;"'!G"&amp;C202))</f>
        <v>4</v>
      </c>
      <c r="M202" s="253" t="str" cm="1">
        <f t="array" aca="1" ref="M202" ca="1">IF(INDIRECT("'"&amp;B202&amp;"'!H"&amp;C202)=0,"N/A",INDIRECT("'"&amp;B202&amp;"'!H"&amp;C202))</f>
        <v>10.1 #4</v>
      </c>
      <c r="N202" s="221" t="str" cm="1">
        <f t="array" aca="1" ref="N202" ca="1">IF(INDIRECT("'"&amp;B202&amp;"'!I"&amp;C202)=0,"N/A",INDIRECT("'"&amp;B202&amp;"'!I"&amp;C202))</f>
        <v xml:space="preserve">มีการกำหนดขั้นตอน หรือ กระบวนการปิดโครงการ โดยครอบคลุมเรื่อง ดังนี้
    (1) การสรุปประโยชน์ที่ได้รับจากโครงการ
    (2) การรวบรวมปัญหา อุปสรรคจากการบริหารจัดการโครงการ เพื่อนำมาเป็นสิ่งที่ได้เรียนรู้ (lesson learned) ใช้สำหรับวิเคราะห์ ปรับปรุง และพัฒนากระบวนการหรือเครื่องมือในการบริหารจัดการโครงการต่อไปให้มีประสิทธิภาพมากขึ้น </v>
      </c>
      <c r="O202" s="533" t="str" cm="1">
        <f t="array" aca="1" ref="O202" ca="1">IF(INDIRECT("'"&amp;B202&amp;"'!N"&amp;C202)=0,"N/A",INDIRECT("'"&amp;B202&amp;"'!N"&amp;C202))</f>
        <v>Maturity</v>
      </c>
      <c r="P202" s="527" t="str" cm="1">
        <f t="array" aca="1" ref="P202" ca="1">IF(INDIRECT("'"&amp;B202&amp;"'!L"&amp;C202)=0,"",INDIRECT("'"&amp;B202&amp;"'!L"&amp;C202))</f>
        <v/>
      </c>
      <c r="Q202" s="527" t="str">
        <f t="shared" ca="1" si="25"/>
        <v/>
      </c>
      <c r="R202" s="563" t="str">
        <f t="shared" ca="1" si="24"/>
        <v>Yes</v>
      </c>
      <c r="S202" s="528" t="s">
        <v>1575</v>
      </c>
      <c r="T202" s="529" t="str">
        <f t="shared" si="26"/>
        <v/>
      </c>
      <c r="U202" s="529" t="str">
        <f t="shared" si="27"/>
        <v>X</v>
      </c>
      <c r="V202" s="529" t="str">
        <f t="shared" si="28"/>
        <v/>
      </c>
      <c r="W202" s="529" t="str">
        <f t="shared" si="29"/>
        <v/>
      </c>
      <c r="X202" s="529" t="str">
        <f t="shared" si="30"/>
        <v/>
      </c>
      <c r="Y202" s="529" t="str">
        <f t="shared" si="31"/>
        <v/>
      </c>
    </row>
    <row r="203" spans="1:25" ht="25.05" x14ac:dyDescent="0.2">
      <c r="A203" s="253" t="s">
        <v>1193</v>
      </c>
      <c r="B203" s="253" t="s">
        <v>1623</v>
      </c>
      <c r="C203" s="253">
        <v>10</v>
      </c>
      <c r="D203" s="253" t="s">
        <v>1579</v>
      </c>
      <c r="E203" s="534">
        <v>2.1</v>
      </c>
      <c r="F203" s="253" t="s">
        <v>1571</v>
      </c>
      <c r="G203" s="215" t="str" cm="1">
        <f t="array" aca="1" ref="G203" ca="1">IF(INDIRECT("'"&amp;B203&amp;"'!B"&amp;C203)=0,"",INDIRECT("'"&amp;B203&amp;"'!B"&amp;C203))</f>
        <v>x</v>
      </c>
      <c r="H203" s="215" t="str" cm="1">
        <f t="array" aca="1" ref="H203" ca="1">IF(INDIRECT("'"&amp;B203&amp;"'!C"&amp;C203)=0,"",INDIRECT("'"&amp;B203&amp;"'!C"&amp;C203))</f>
        <v>x</v>
      </c>
      <c r="I203" s="215" t="str" cm="1">
        <f t="array" aca="1" ref="I203" ca="1">IF(INDIRECT("'"&amp;B203&amp;"'!D"&amp;C203)=0,"",INDIRECT("'"&amp;B203&amp;"'!D"&amp;C203))</f>
        <v>x</v>
      </c>
      <c r="J203" s="215" t="str" cm="1">
        <f t="array" aca="1" ref="J203" ca="1">IF(INDIRECT("'"&amp;B203&amp;"'!E"&amp;C203)=0,"",INDIRECT("'"&amp;B203&amp;"'!E"&amp;C203))</f>
        <v/>
      </c>
      <c r="K203" s="253" cm="1">
        <f t="array" aca="1" ref="K203" ca="1">IF(INDIRECT("'"&amp;B203&amp;"'!F"&amp;C203)=0,"N/A",INDIRECT("'"&amp;B203&amp;"'!F"&amp;C203))</f>
        <v>10.1</v>
      </c>
      <c r="L203" s="253" cm="1">
        <f t="array" aca="1" ref="L203" ca="1">IF(INDIRECT("'"&amp;B203&amp;"'!G"&amp;C203)=0,"N/A",INDIRECT("'"&amp;B203&amp;"'!G"&amp;C203))</f>
        <v>5</v>
      </c>
      <c r="M203" s="253" t="str" cm="1">
        <f t="array" aca="1" ref="M203" ca="1">IF(INDIRECT("'"&amp;B203&amp;"'!H"&amp;C203)=0,"N/A",INDIRECT("'"&amp;B203&amp;"'!H"&amp;C203))</f>
        <v>10.1 #5</v>
      </c>
      <c r="N203" s="221" t="str" cm="1">
        <f t="array" aca="1" ref="N203" ca="1">IF(INDIRECT("'"&amp;B203&amp;"'!I"&amp;C203)=0,"N/A",INDIRECT("'"&amp;B203&amp;"'!I"&amp;C203))</f>
        <v>มีการสอบทานโครงการที่มีนัยสำคัญ โดยโครงการจะต้องมีความสอดคล้องกับเป้าหมายของโครงการ นโยบาย มาตรฐาน ระเบียบและวิธีปฏิบัติของผู้ประกอบธุรกิจ รวมทั้งกฎหมายและหลักเกณฑ์ที่เกี่ยวข้อง</v>
      </c>
      <c r="O203" s="533" t="str" cm="1">
        <f t="array" aca="1" ref="O203" ca="1">IF(INDIRECT("'"&amp;B203&amp;"'!N"&amp;C203)=0,"N/A",INDIRECT("'"&amp;B203&amp;"'!N"&amp;C203))</f>
        <v>Yes/Partial/No</v>
      </c>
      <c r="P203" s="527" t="str" cm="1">
        <f t="array" aca="1" ref="P203" ca="1">IF(INDIRECT("'"&amp;B203&amp;"'!L"&amp;C203)=0,"",INDIRECT("'"&amp;B203&amp;"'!L"&amp;C203))</f>
        <v/>
      </c>
      <c r="Q203" s="527" t="str">
        <f t="shared" ca="1" si="25"/>
        <v/>
      </c>
      <c r="R203" s="563" t="str">
        <f t="shared" ca="1" si="24"/>
        <v>Yes</v>
      </c>
      <c r="S203" s="528" t="s">
        <v>1572</v>
      </c>
      <c r="T203" s="529" t="str">
        <f t="shared" si="26"/>
        <v>X</v>
      </c>
      <c r="U203" s="529" t="str">
        <f t="shared" si="27"/>
        <v/>
      </c>
      <c r="V203" s="529" t="str">
        <f t="shared" si="28"/>
        <v/>
      </c>
      <c r="W203" s="529" t="str">
        <f t="shared" si="29"/>
        <v/>
      </c>
      <c r="X203" s="529" t="str">
        <f t="shared" si="30"/>
        <v/>
      </c>
      <c r="Y203" s="529" t="str">
        <f t="shared" si="31"/>
        <v/>
      </c>
    </row>
    <row r="204" spans="1:25" ht="25.05" x14ac:dyDescent="0.2">
      <c r="A204" s="253" t="s">
        <v>1197</v>
      </c>
      <c r="B204" s="253" t="s">
        <v>1623</v>
      </c>
      <c r="C204" s="253">
        <v>11</v>
      </c>
      <c r="D204" s="253" t="s">
        <v>1579</v>
      </c>
      <c r="E204" s="534">
        <v>2.1</v>
      </c>
      <c r="F204" s="253" t="s">
        <v>1574</v>
      </c>
      <c r="G204" s="215" t="str" cm="1">
        <f t="array" aca="1" ref="G204" ca="1">IF(INDIRECT("'"&amp;B204&amp;"'!B"&amp;C204)=0,"",INDIRECT("'"&amp;B204&amp;"'!B"&amp;C204))</f>
        <v>x</v>
      </c>
      <c r="H204" s="215" t="str" cm="1">
        <f t="array" aca="1" ref="H204" ca="1">IF(INDIRECT("'"&amp;B204&amp;"'!C"&amp;C204)=0,"",INDIRECT("'"&amp;B204&amp;"'!C"&amp;C204))</f>
        <v/>
      </c>
      <c r="I204" s="215" t="str" cm="1">
        <f t="array" aca="1" ref="I204" ca="1">IF(INDIRECT("'"&amp;B204&amp;"'!D"&amp;C204)=0,"",INDIRECT("'"&amp;B204&amp;"'!D"&amp;C204))</f>
        <v/>
      </c>
      <c r="J204" s="215" t="str" cm="1">
        <f t="array" aca="1" ref="J204" ca="1">IF(INDIRECT("'"&amp;B204&amp;"'!E"&amp;C204)=0,"",INDIRECT("'"&amp;B204&amp;"'!E"&amp;C204))</f>
        <v/>
      </c>
      <c r="K204" s="253" cm="1">
        <f t="array" aca="1" ref="K204" ca="1">IF(INDIRECT("'"&amp;B204&amp;"'!F"&amp;C204)=0,"N/A",INDIRECT("'"&amp;B204&amp;"'!F"&amp;C204))</f>
        <v>10.1</v>
      </c>
      <c r="L204" s="253" cm="1">
        <f t="array" aca="1" ref="L204" ca="1">IF(INDIRECT("'"&amp;B204&amp;"'!G"&amp;C204)=0,"N/A",INDIRECT("'"&amp;B204&amp;"'!G"&amp;C204))</f>
        <v>6</v>
      </c>
      <c r="M204" s="253" t="str" cm="1">
        <f t="array" aca="1" ref="M204" ca="1">IF(INDIRECT("'"&amp;B204&amp;"'!H"&amp;C204)=0,"N/A",INDIRECT("'"&amp;B204&amp;"'!H"&amp;C204))</f>
        <v>10.1 #6</v>
      </c>
      <c r="N204" s="221" t="str" cm="1">
        <f t="array" aca="1" ref="N204" ca="1">IF(INDIRECT("'"&amp;B204&amp;"'!I"&amp;C204)=0,"N/A",INDIRECT("'"&amp;B204&amp;"'!I"&amp;C204))</f>
        <v xml:space="preserve">ผู้สอบทานโครงการที่มีนัยสำคัญ ควรมีความเป็นอิสระจากผู้ดำเนินโครงการ เช่น หน่วยงาน project quality assurance เป็นต้น </v>
      </c>
      <c r="O204" s="533" t="str" cm="1">
        <f t="array" aca="1" ref="O204" ca="1">IF(INDIRECT("'"&amp;B204&amp;"'!N"&amp;C204)=0,"N/A",INDIRECT("'"&amp;B204&amp;"'!N"&amp;C204))</f>
        <v>Yes/Partial/No</v>
      </c>
      <c r="P204" s="527" t="str" cm="1">
        <f t="array" aca="1" ref="P204" ca="1">IF(INDIRECT("'"&amp;B204&amp;"'!L"&amp;C204)=0,"",INDIRECT("'"&amp;B204&amp;"'!L"&amp;C204))</f>
        <v/>
      </c>
      <c r="Q204" s="527" t="str">
        <f t="shared" ca="1" si="25"/>
        <v/>
      </c>
      <c r="R204" s="563" t="str">
        <f t="shared" ca="1" si="24"/>
        <v>Yes</v>
      </c>
      <c r="S204" s="528" t="s">
        <v>1572</v>
      </c>
      <c r="T204" s="529" t="str">
        <f t="shared" si="26"/>
        <v>X</v>
      </c>
      <c r="U204" s="529" t="str">
        <f t="shared" si="27"/>
        <v/>
      </c>
      <c r="V204" s="529" t="str">
        <f t="shared" si="28"/>
        <v/>
      </c>
      <c r="W204" s="529" t="str">
        <f t="shared" si="29"/>
        <v/>
      </c>
      <c r="X204" s="529" t="str">
        <f t="shared" si="30"/>
        <v/>
      </c>
      <c r="Y204" s="529" t="str">
        <f t="shared" si="31"/>
        <v/>
      </c>
    </row>
    <row r="205" spans="1:25" ht="37.6" x14ac:dyDescent="0.2">
      <c r="A205" s="253" t="s">
        <v>1202</v>
      </c>
      <c r="B205" s="253" t="s">
        <v>1623</v>
      </c>
      <c r="C205" s="253">
        <v>13</v>
      </c>
      <c r="D205" s="253" t="s">
        <v>1579</v>
      </c>
      <c r="E205" s="534">
        <v>2.1</v>
      </c>
      <c r="F205" s="253" t="s">
        <v>1571</v>
      </c>
      <c r="G205" s="215" t="str" cm="1">
        <f t="array" aca="1" ref="G205" ca="1">IF(INDIRECT("'"&amp;B205&amp;"'!B"&amp;C205)=0,"",INDIRECT("'"&amp;B205&amp;"'!B"&amp;C205))</f>
        <v>x</v>
      </c>
      <c r="H205" s="215" t="str" cm="1">
        <f t="array" aca="1" ref="H205" ca="1">IF(INDIRECT("'"&amp;B205&amp;"'!C"&amp;C205)=0,"",INDIRECT("'"&amp;B205&amp;"'!C"&amp;C205))</f>
        <v>x</v>
      </c>
      <c r="I205" s="215" t="str" cm="1">
        <f t="array" aca="1" ref="I205" ca="1">IF(INDIRECT("'"&amp;B205&amp;"'!D"&amp;C205)=0,"",INDIRECT("'"&amp;B205&amp;"'!D"&amp;C205))</f>
        <v>x</v>
      </c>
      <c r="J205" s="215" t="str" cm="1">
        <f t="array" aca="1" ref="J205" ca="1">IF(INDIRECT("'"&amp;B205&amp;"'!E"&amp;C205)=0,"",INDIRECT("'"&amp;B205&amp;"'!E"&amp;C205))</f>
        <v/>
      </c>
      <c r="K205" s="253" cm="1">
        <f t="array" aca="1" ref="K205" ca="1">IF(INDIRECT("'"&amp;B205&amp;"'!F"&amp;C205)=0,"N/A",INDIRECT("'"&amp;B205&amp;"'!F"&amp;C205))</f>
        <v>10.199999999999999</v>
      </c>
      <c r="L205" s="253" t="str" cm="1">
        <f t="array" aca="1" ref="L205" ca="1">IF(INDIRECT("'"&amp;B205&amp;"'!G"&amp;C205)=0,"N/A",INDIRECT("'"&amp;B205&amp;"'!G"&amp;C205))</f>
        <v>N/A</v>
      </c>
      <c r="M205" s="253" cm="1">
        <f t="array" aca="1" ref="M205" ca="1">IF(INDIRECT("'"&amp;B205&amp;"'!H"&amp;C205)=0,"N/A",INDIRECT("'"&amp;B205&amp;"'!H"&amp;C205))</f>
        <v>10.199999999999999</v>
      </c>
      <c r="N205" s="221" t="str" cm="1">
        <f t="array" aca="1" ref="N205" ca="1">IF(INDIRECT("'"&amp;B205&amp;"'!I"&amp;C205)=0,"N/A",INDIRECT("'"&amp;B205&amp;"'!I"&amp;C205))</f>
        <v>มีการกำหนดหลักเกณฑ์ในการคัดเลือกระบบ IT และผู้ให้บริการ ที่สามารถตอบสนองความต้องการทางธุรกิจ และความต้องการด้าน IT security โดยคำนึงถึงความยืดหยุ่นในการเปลี่ยนแปลงผู้ให้บริการ การเปลี่ยนแปลงเทคโนโลยี รวมถึงการเปลี่ยนแปลงต่าง ๆ ที่เกี่ยวข้องกับการดำเนินธุรกิจอย่างมีนัยสำคัญ</v>
      </c>
      <c r="O205" s="533" t="str" cm="1">
        <f t="array" aca="1" ref="O205" ca="1">IF(INDIRECT("'"&amp;B205&amp;"'!N"&amp;C205)=0,"N/A",INDIRECT("'"&amp;B205&amp;"'!N"&amp;C205))</f>
        <v>Yes/Partial/No</v>
      </c>
      <c r="P205" s="527" t="str" cm="1">
        <f t="array" aca="1" ref="P205" ca="1">IF(INDIRECT("'"&amp;B205&amp;"'!L"&amp;C205)=0,"",INDIRECT("'"&amp;B205&amp;"'!L"&amp;C205))</f>
        <v/>
      </c>
      <c r="Q205" s="527" t="str">
        <f t="shared" ca="1" si="25"/>
        <v/>
      </c>
      <c r="R205" s="563" t="str">
        <f t="shared" ca="1" si="24"/>
        <v>Yes</v>
      </c>
      <c r="S205" s="528" t="s">
        <v>1625</v>
      </c>
      <c r="T205" s="529" t="str">
        <f t="shared" si="26"/>
        <v>X</v>
      </c>
      <c r="U205" s="529" t="str">
        <f t="shared" si="27"/>
        <v/>
      </c>
      <c r="V205" s="529" t="str">
        <f t="shared" si="28"/>
        <v/>
      </c>
      <c r="W205" s="529" t="str">
        <f t="shared" si="29"/>
        <v/>
      </c>
      <c r="X205" s="529" t="str">
        <f t="shared" si="30"/>
        <v/>
      </c>
      <c r="Y205" s="529" t="str">
        <f t="shared" si="31"/>
        <v/>
      </c>
    </row>
    <row r="206" spans="1:25" ht="25.05" x14ac:dyDescent="0.2">
      <c r="A206" s="253" t="s">
        <v>1206</v>
      </c>
      <c r="B206" s="253" t="s">
        <v>1623</v>
      </c>
      <c r="C206" s="253">
        <v>15</v>
      </c>
      <c r="D206" s="253" t="s">
        <v>1579</v>
      </c>
      <c r="E206" s="534">
        <v>2.1</v>
      </c>
      <c r="F206" s="253" t="s">
        <v>1571</v>
      </c>
      <c r="G206" s="215" t="str" cm="1">
        <f t="array" aca="1" ref="G206" ca="1">IF(INDIRECT("'"&amp;B206&amp;"'!B"&amp;C206)=0,"",INDIRECT("'"&amp;B206&amp;"'!B"&amp;C206))</f>
        <v>x</v>
      </c>
      <c r="H206" s="215" t="str" cm="1">
        <f t="array" aca="1" ref="H206" ca="1">IF(INDIRECT("'"&amp;B206&amp;"'!C"&amp;C206)=0,"",INDIRECT("'"&amp;B206&amp;"'!C"&amp;C206))</f>
        <v>x</v>
      </c>
      <c r="I206" s="215" t="str" cm="1">
        <f t="array" aca="1" ref="I206" ca="1">IF(INDIRECT("'"&amp;B206&amp;"'!D"&amp;C206)=0,"",INDIRECT("'"&amp;B206&amp;"'!D"&amp;C206))</f>
        <v>x</v>
      </c>
      <c r="J206" s="215" t="str" cm="1">
        <f t="array" aca="1" ref="J206" ca="1">IF(INDIRECT("'"&amp;B206&amp;"'!E"&amp;C206)=0,"",INDIRECT("'"&amp;B206&amp;"'!E"&amp;C206))</f>
        <v/>
      </c>
      <c r="K206" s="253" t="str" cm="1">
        <f t="array" aca="1" ref="K206" ca="1">IF(INDIRECT("'"&amp;B206&amp;"'!F"&amp;C206)=0,"N/A",INDIRECT("'"&amp;B206&amp;"'!F"&amp;C206))</f>
        <v>10.3(1)</v>
      </c>
      <c r="L206" s="253" cm="1">
        <f t="array" aca="1" ref="L206" ca="1">IF(INDIRECT("'"&amp;B206&amp;"'!G"&amp;C206)=0,"N/A",INDIRECT("'"&amp;B206&amp;"'!G"&amp;C206))</f>
        <v>1</v>
      </c>
      <c r="M206" s="253" t="str" cm="1">
        <f t="array" aca="1" ref="M206" ca="1">IF(INDIRECT("'"&amp;B206&amp;"'!H"&amp;C206)=0,"N/A",INDIRECT("'"&amp;B206&amp;"'!H"&amp;C206))</f>
        <v>10.3(1) #1</v>
      </c>
      <c r="N206" s="221" t="str" cm="1">
        <f t="array" aca="1" ref="N206" ca="1">IF(INDIRECT("'"&amp;B206&amp;"'!I"&amp;C206)=0,"N/A",INDIRECT("'"&amp;B206&amp;"'!I"&amp;C206))</f>
        <v>มีการกำหนดให้หน่วยงานธุรกิจที่เกี่ยวข้องมีส่วนร่วมในการกำหนดรายละเอียดความต้องการของระบบ (requirement)</v>
      </c>
      <c r="O206" s="533" t="str" cm="1">
        <f t="array" aca="1" ref="O206" ca="1">IF(INDIRECT("'"&amp;B206&amp;"'!N"&amp;C206)=0,"N/A",INDIRECT("'"&amp;B206&amp;"'!N"&amp;C206))</f>
        <v>Yes/Partial/No</v>
      </c>
      <c r="P206" s="527" t="str" cm="1">
        <f t="array" aca="1" ref="P206" ca="1">IF(INDIRECT("'"&amp;B206&amp;"'!L"&amp;C206)=0,"",INDIRECT("'"&amp;B206&amp;"'!L"&amp;C206))</f>
        <v/>
      </c>
      <c r="Q206" s="527" t="str">
        <f t="shared" ca="1" si="25"/>
        <v/>
      </c>
      <c r="R206" s="563" t="str">
        <f t="shared" ca="1" si="24"/>
        <v>Yes</v>
      </c>
      <c r="S206" s="528" t="s">
        <v>1626</v>
      </c>
      <c r="T206" s="529" t="str">
        <f t="shared" si="26"/>
        <v/>
      </c>
      <c r="U206" s="529" t="str">
        <f t="shared" si="27"/>
        <v/>
      </c>
      <c r="V206" s="529" t="str">
        <f t="shared" si="28"/>
        <v/>
      </c>
      <c r="W206" s="529" t="str">
        <f t="shared" si="29"/>
        <v/>
      </c>
      <c r="X206" s="529" t="str">
        <f t="shared" si="30"/>
        <v/>
      </c>
      <c r="Y206" s="529" t="str">
        <f t="shared" si="31"/>
        <v/>
      </c>
    </row>
    <row r="207" spans="1:25" ht="137.75" x14ac:dyDescent="0.2">
      <c r="A207" s="253" t="s">
        <v>1211</v>
      </c>
      <c r="B207" s="253" t="s">
        <v>1623</v>
      </c>
      <c r="C207" s="253">
        <v>16</v>
      </c>
      <c r="D207" s="253" t="s">
        <v>1579</v>
      </c>
      <c r="E207" s="534">
        <v>2.1</v>
      </c>
      <c r="F207" s="253" t="s">
        <v>1571</v>
      </c>
      <c r="G207" s="215" t="str" cm="1">
        <f t="array" aca="1" ref="G207" ca="1">IF(INDIRECT("'"&amp;B207&amp;"'!B"&amp;C207)=0,"",INDIRECT("'"&amp;B207&amp;"'!B"&amp;C207))</f>
        <v>x</v>
      </c>
      <c r="H207" s="215" t="str" cm="1">
        <f t="array" aca="1" ref="H207" ca="1">IF(INDIRECT("'"&amp;B207&amp;"'!C"&amp;C207)=0,"",INDIRECT("'"&amp;B207&amp;"'!C"&amp;C207))</f>
        <v>x</v>
      </c>
      <c r="I207" s="215" t="str" cm="1">
        <f t="array" aca="1" ref="I207" ca="1">IF(INDIRECT("'"&amp;B207&amp;"'!D"&amp;C207)=0,"",INDIRECT("'"&amp;B207&amp;"'!D"&amp;C207))</f>
        <v>x</v>
      </c>
      <c r="J207" s="215" t="str" cm="1">
        <f t="array" aca="1" ref="J207" ca="1">IF(INDIRECT("'"&amp;B207&amp;"'!E"&amp;C207)=0,"",INDIRECT("'"&amp;B207&amp;"'!E"&amp;C207))</f>
        <v/>
      </c>
      <c r="K207" s="253" t="str" cm="1">
        <f t="array" aca="1" ref="K207" ca="1">IF(INDIRECT("'"&amp;B207&amp;"'!F"&amp;C207)=0,"N/A",INDIRECT("'"&amp;B207&amp;"'!F"&amp;C207))</f>
        <v>10.3(1)</v>
      </c>
      <c r="L207" s="253" cm="1">
        <f t="array" aca="1" ref="L207" ca="1">IF(INDIRECT("'"&amp;B207&amp;"'!G"&amp;C207)=0,"N/A",INDIRECT("'"&amp;B207&amp;"'!G"&amp;C207))</f>
        <v>2</v>
      </c>
      <c r="M207" s="253" t="str" cm="1">
        <f t="array" aca="1" ref="M207" ca="1">IF(INDIRECT("'"&amp;B207&amp;"'!H"&amp;C207)=0,"N/A",INDIRECT("'"&amp;B207&amp;"'!H"&amp;C207))</f>
        <v>10.3(1) #2</v>
      </c>
      <c r="N207" s="221" t="str" cm="1">
        <f t="array" aca="1" ref="N207" ca="1">IF(INDIRECT("'"&amp;B207&amp;"'!I"&amp;C207)=0,"N/A",INDIRECT("'"&amp;B207&amp;"'!I"&amp;C207))</f>
        <v xml:space="preserve">มีการจัดทำเอกสารระบุรายละเอียดความต้องการของระบบ (functional requirement และ non-functional requirement) และคุณสมบัติทางเทคนิค (technical specification) ที่ครอบคลุมหัวข้อตามที่กำหนด ดังนี้
    (1) ความมั่นคงปลอดภัย (security) ตามนโยบายหรือมาตรฐานที่ผู้ประกอบธุรกิจกำหนด เช่น การควบคุมการเข้าถึง และการเข้ารหัสข้อมูล เป็นต้น
    (2) ความพร้อมใช้งาน (availability) เช่น การออกแบบให้มีระบบทดแทน high availability หรือ redundancy รวมถึงมีระบบสำรอง (DR strategy) เป็นต้น เพื่อให้ระบบสามารถให้บริการได้อย่างต่อเนื่อง และลดความเสี่ยงที่จุดใดจุดหนึ่งทำให้ระบบเกิดปัญหาหรือล้มเหลวทั้งหมด (single point of failure)
    (3) ขีดความสามารถที่รองรับ (capacity)
ทั้งนี้ เอกสารข้างต้นควรผ่านการสอบทานความถูกต้องครบถ้วนและได้รับอนุมัติจากผู้เกี่ยวข้องก่อนเริ่มพัฒนาระบบ </v>
      </c>
      <c r="O207" s="533" t="str" cm="1">
        <f t="array" aca="1" ref="O207" ca="1">IF(INDIRECT("'"&amp;B207&amp;"'!N"&amp;C207)=0,"N/A",INDIRECT("'"&amp;B207&amp;"'!N"&amp;C207))</f>
        <v>Yes/Partial/No</v>
      </c>
      <c r="P207" s="527" t="str" cm="1">
        <f t="array" aca="1" ref="P207" ca="1">IF(INDIRECT("'"&amp;B207&amp;"'!L"&amp;C207)=0,"",INDIRECT("'"&amp;B207&amp;"'!L"&amp;C207))</f>
        <v/>
      </c>
      <c r="Q207" s="527" t="str">
        <f t="shared" ca="1" si="25"/>
        <v/>
      </c>
      <c r="R207" s="563" t="str">
        <f t="shared" ca="1" si="24"/>
        <v>Yes</v>
      </c>
      <c r="S207" s="528" t="s">
        <v>1572</v>
      </c>
      <c r="T207" s="529" t="str">
        <f t="shared" si="26"/>
        <v>X</v>
      </c>
      <c r="U207" s="529" t="str">
        <f t="shared" si="27"/>
        <v/>
      </c>
      <c r="V207" s="529" t="str">
        <f t="shared" si="28"/>
        <v/>
      </c>
      <c r="W207" s="529" t="str">
        <f t="shared" si="29"/>
        <v/>
      </c>
      <c r="X207" s="529" t="str">
        <f t="shared" si="30"/>
        <v/>
      </c>
      <c r="Y207" s="529" t="str">
        <f t="shared" si="31"/>
        <v/>
      </c>
    </row>
    <row r="208" spans="1:25" ht="37.6" x14ac:dyDescent="0.2">
      <c r="A208" s="253" t="s">
        <v>1215</v>
      </c>
      <c r="B208" s="253" t="s">
        <v>1623</v>
      </c>
      <c r="C208" s="253">
        <v>17</v>
      </c>
      <c r="D208" s="253" t="s">
        <v>1579</v>
      </c>
      <c r="E208" s="534">
        <v>2.1</v>
      </c>
      <c r="F208" s="253" t="s">
        <v>1571</v>
      </c>
      <c r="G208" s="215" t="str" cm="1">
        <f t="array" aca="1" ref="G208" ca="1">IF(INDIRECT("'"&amp;B208&amp;"'!B"&amp;C208)=0,"",INDIRECT("'"&amp;B208&amp;"'!B"&amp;C208))</f>
        <v>x</v>
      </c>
      <c r="H208" s="215" t="str" cm="1">
        <f t="array" aca="1" ref="H208" ca="1">IF(INDIRECT("'"&amp;B208&amp;"'!C"&amp;C208)=0,"",INDIRECT("'"&amp;B208&amp;"'!C"&amp;C208))</f>
        <v>x</v>
      </c>
      <c r="I208" s="215" t="str" cm="1">
        <f t="array" aca="1" ref="I208" ca="1">IF(INDIRECT("'"&amp;B208&amp;"'!D"&amp;C208)=0,"",INDIRECT("'"&amp;B208&amp;"'!D"&amp;C208))</f>
        <v>x</v>
      </c>
      <c r="J208" s="215" t="str" cm="1">
        <f t="array" aca="1" ref="J208" ca="1">IF(INDIRECT("'"&amp;B208&amp;"'!E"&amp;C208)=0,"",INDIRECT("'"&amp;B208&amp;"'!E"&amp;C208))</f>
        <v/>
      </c>
      <c r="K208" s="253" t="str" cm="1">
        <f t="array" aca="1" ref="K208" ca="1">IF(INDIRECT("'"&amp;B208&amp;"'!F"&amp;C208)=0,"N/A",INDIRECT("'"&amp;B208&amp;"'!F"&amp;C208))</f>
        <v>10.3(2)</v>
      </c>
      <c r="L208" s="253" cm="1">
        <f t="array" aca="1" ref="L208" ca="1">IF(INDIRECT("'"&amp;B208&amp;"'!G"&amp;C208)=0,"N/A",INDIRECT("'"&amp;B208&amp;"'!G"&amp;C208))</f>
        <v>1</v>
      </c>
      <c r="M208" s="253" t="str" cm="1">
        <f t="array" aca="1" ref="M208" ca="1">IF(INDIRECT("'"&amp;B208&amp;"'!H"&amp;C208)=0,"N/A",INDIRECT("'"&amp;B208&amp;"'!H"&amp;C208))</f>
        <v>10.3(2) #1</v>
      </c>
      <c r="N208" s="221" t="str" cm="1">
        <f t="array" aca="1" ref="N208" ca="1">IF(INDIRECT("'"&amp;B208&amp;"'!I"&amp;C208)=0,"N/A",INDIRECT("'"&amp;B208&amp;"'!I"&amp;C208))</f>
        <v>มีการแบ่งแยกบทบาทหน้าที่และความรับผิดชอบของผู้ที่เกี่ยวข้องในการพัฒนาระบบ (segregation of duty) เพื่อให้มีการสอบทานก่อนนำระบบขึ้นไปให้บริการจริง เช่น แยกผู้พัฒนาระบบ ออกจากผู้นำระบบขึ้นใช้งานจริง เป็นต้น</v>
      </c>
      <c r="O208" s="533" t="str" cm="1">
        <f t="array" aca="1" ref="O208" ca="1">IF(INDIRECT("'"&amp;B208&amp;"'!N"&amp;C208)=0,"N/A",INDIRECT("'"&amp;B208&amp;"'!N"&amp;C208))</f>
        <v>Yes/Partial/No</v>
      </c>
      <c r="P208" s="527" t="str" cm="1">
        <f t="array" aca="1" ref="P208" ca="1">IF(INDIRECT("'"&amp;B208&amp;"'!L"&amp;C208)=0,"",INDIRECT("'"&amp;B208&amp;"'!L"&amp;C208))</f>
        <v/>
      </c>
      <c r="Q208" s="527" t="str">
        <f t="shared" ca="1" si="25"/>
        <v/>
      </c>
      <c r="R208" s="563" t="str">
        <f t="shared" ca="1" si="24"/>
        <v>Yes</v>
      </c>
      <c r="S208" s="528" t="s">
        <v>1580</v>
      </c>
      <c r="T208" s="529" t="str">
        <f t="shared" si="26"/>
        <v/>
      </c>
      <c r="U208" s="529" t="str">
        <f t="shared" si="27"/>
        <v/>
      </c>
      <c r="V208" s="529" t="str">
        <f t="shared" si="28"/>
        <v>X</v>
      </c>
      <c r="W208" s="529" t="str">
        <f t="shared" si="29"/>
        <v/>
      </c>
      <c r="X208" s="529" t="str">
        <f t="shared" si="30"/>
        <v/>
      </c>
      <c r="Y208" s="529" t="str">
        <f t="shared" si="31"/>
        <v/>
      </c>
    </row>
    <row r="209" spans="1:25" ht="37.6" x14ac:dyDescent="0.2">
      <c r="A209" s="253" t="s">
        <v>1220</v>
      </c>
      <c r="B209" s="253" t="s">
        <v>1623</v>
      </c>
      <c r="C209" s="253">
        <v>18</v>
      </c>
      <c r="D209" s="253" t="s">
        <v>1579</v>
      </c>
      <c r="E209" s="534">
        <v>2.1</v>
      </c>
      <c r="F209" s="253" t="s">
        <v>1571</v>
      </c>
      <c r="G209" s="215" t="str" cm="1">
        <f t="array" aca="1" ref="G209" ca="1">IF(INDIRECT("'"&amp;B209&amp;"'!B"&amp;C209)=0,"",INDIRECT("'"&amp;B209&amp;"'!B"&amp;C209))</f>
        <v>x</v>
      </c>
      <c r="H209" s="215" t="str" cm="1">
        <f t="array" aca="1" ref="H209" ca="1">IF(INDIRECT("'"&amp;B209&amp;"'!C"&amp;C209)=0,"",INDIRECT("'"&amp;B209&amp;"'!C"&amp;C209))</f>
        <v>x</v>
      </c>
      <c r="I209" s="215" t="str" cm="1">
        <f t="array" aca="1" ref="I209" ca="1">IF(INDIRECT("'"&amp;B209&amp;"'!D"&amp;C209)=0,"",INDIRECT("'"&amp;B209&amp;"'!D"&amp;C209))</f>
        <v>x</v>
      </c>
      <c r="J209" s="215" t="str" cm="1">
        <f t="array" aca="1" ref="J209" ca="1">IF(INDIRECT("'"&amp;B209&amp;"'!E"&amp;C209)=0,"",INDIRECT("'"&amp;B209&amp;"'!E"&amp;C209))</f>
        <v/>
      </c>
      <c r="K209" s="253" t="str" cm="1">
        <f t="array" aca="1" ref="K209" ca="1">IF(INDIRECT("'"&amp;B209&amp;"'!F"&amp;C209)=0,"N/A",INDIRECT("'"&amp;B209&amp;"'!F"&amp;C209))</f>
        <v>10.3(3)</v>
      </c>
      <c r="L209" s="253" cm="1">
        <f t="array" aca="1" ref="L209" ca="1">IF(INDIRECT("'"&amp;B209&amp;"'!G"&amp;C209)=0,"N/A",INDIRECT("'"&amp;B209&amp;"'!G"&amp;C209))</f>
        <v>1</v>
      </c>
      <c r="M209" s="253" t="str" cm="1">
        <f t="array" aca="1" ref="M209" ca="1">IF(INDIRECT("'"&amp;B209&amp;"'!H"&amp;C209)=0,"N/A",INDIRECT("'"&amp;B209&amp;"'!H"&amp;C209))</f>
        <v>10.3(3) #1</v>
      </c>
      <c r="N209" s="221" t="str" cm="1">
        <f t="array" aca="1" ref="N209" ca="1">IF(INDIRECT("'"&amp;B209&amp;"'!I"&amp;C209)=0,"N/A",INDIRECT("'"&amp;B209&amp;"'!I"&amp;C209))</f>
        <v xml:space="preserve">มีการแบ่งแยกสภาพแวดล้อมของระบบงานที่ใช้สำหรับการพัฒนา (development) และการทดสอบ (testing) ออกจากระบบงานที่ให้บริการจริง (production) เพื่อควบคุมการทดสอบและลดผลกระทบที่อาจเกิดขึ้นต่อระบบงานที่ให้บริการจริง  </v>
      </c>
      <c r="O209" s="533" t="str" cm="1">
        <f t="array" aca="1" ref="O209" ca="1">IF(INDIRECT("'"&amp;B209&amp;"'!N"&amp;C209)=0,"N/A",INDIRECT("'"&amp;B209&amp;"'!N"&amp;C209))</f>
        <v>Yes/Partial/No</v>
      </c>
      <c r="P209" s="527" t="str" cm="1">
        <f t="array" aca="1" ref="P209" ca="1">IF(INDIRECT("'"&amp;B209&amp;"'!L"&amp;C209)=0,"",INDIRECT("'"&amp;B209&amp;"'!L"&amp;C209))</f>
        <v/>
      </c>
      <c r="Q209" s="527" t="str">
        <f t="shared" ca="1" si="25"/>
        <v/>
      </c>
      <c r="R209" s="563" t="str">
        <f t="shared" ca="1" si="24"/>
        <v>Yes</v>
      </c>
      <c r="S209" s="528" t="s">
        <v>1580</v>
      </c>
      <c r="T209" s="529" t="str">
        <f t="shared" si="26"/>
        <v/>
      </c>
      <c r="U209" s="529" t="str">
        <f t="shared" si="27"/>
        <v/>
      </c>
      <c r="V209" s="529" t="str">
        <f t="shared" si="28"/>
        <v>X</v>
      </c>
      <c r="W209" s="529" t="str">
        <f t="shared" si="29"/>
        <v/>
      </c>
      <c r="X209" s="529" t="str">
        <f t="shared" si="30"/>
        <v/>
      </c>
      <c r="Y209" s="529" t="str">
        <f t="shared" si="31"/>
        <v/>
      </c>
    </row>
    <row r="210" spans="1:25" ht="25.05" x14ac:dyDescent="0.2">
      <c r="A210" s="253" t="s">
        <v>1225</v>
      </c>
      <c r="B210" s="253" t="s">
        <v>1623</v>
      </c>
      <c r="C210" s="253">
        <v>19</v>
      </c>
      <c r="D210" s="253" t="s">
        <v>1579</v>
      </c>
      <c r="E210" s="534">
        <v>2.1</v>
      </c>
      <c r="F210" s="253" t="s">
        <v>1571</v>
      </c>
      <c r="G210" s="215" t="str" cm="1">
        <f t="array" aca="1" ref="G210" ca="1">IF(INDIRECT("'"&amp;B210&amp;"'!B"&amp;C210)=0,"",INDIRECT("'"&amp;B210&amp;"'!B"&amp;C210))</f>
        <v>x</v>
      </c>
      <c r="H210" s="215" t="str" cm="1">
        <f t="array" aca="1" ref="H210" ca="1">IF(INDIRECT("'"&amp;B210&amp;"'!C"&amp;C210)=0,"",INDIRECT("'"&amp;B210&amp;"'!C"&amp;C210))</f>
        <v>x</v>
      </c>
      <c r="I210" s="215" t="str" cm="1">
        <f t="array" aca="1" ref="I210" ca="1">IF(INDIRECT("'"&amp;B210&amp;"'!D"&amp;C210)=0,"",INDIRECT("'"&amp;B210&amp;"'!D"&amp;C210))</f>
        <v>x</v>
      </c>
      <c r="J210" s="215" t="str" cm="1">
        <f t="array" aca="1" ref="J210" ca="1">IF(INDIRECT("'"&amp;B210&amp;"'!E"&amp;C210)=0,"",INDIRECT("'"&amp;B210&amp;"'!E"&amp;C210))</f>
        <v/>
      </c>
      <c r="K210" s="253" t="str" cm="1">
        <f t="array" aca="1" ref="K210" ca="1">IF(INDIRECT("'"&amp;B210&amp;"'!F"&amp;C210)=0,"N/A",INDIRECT("'"&amp;B210&amp;"'!F"&amp;C210))</f>
        <v>10.3(3)</v>
      </c>
      <c r="L210" s="253" cm="1">
        <f t="array" aca="1" ref="L210" ca="1">IF(INDIRECT("'"&amp;B210&amp;"'!G"&amp;C210)=0,"N/A",INDIRECT("'"&amp;B210&amp;"'!G"&amp;C210))</f>
        <v>2</v>
      </c>
      <c r="M210" s="253" t="str" cm="1">
        <f t="array" aca="1" ref="M210" ca="1">IF(INDIRECT("'"&amp;B210&amp;"'!H"&amp;C210)=0,"N/A",INDIRECT("'"&amp;B210&amp;"'!H"&amp;C210))</f>
        <v>10.3(3) #2</v>
      </c>
      <c r="N210" s="221" t="str" cm="1">
        <f t="array" aca="1" ref="N210" ca="1">IF(INDIRECT("'"&amp;B210&amp;"'!I"&amp;C210)=0,"N/A",INDIRECT("'"&amp;B210&amp;"'!I"&amp;C210))</f>
        <v>มีการรักษาความมั่นคงปลอดภัยของเครื่องที่ไม่ได้อยู่บนระบบที่ให้บริการจริง (non-production) ให้เพียงพอกับระดับความเสี่ยงของการเข้าถึงโดยไม่ได้รับอนุญาต และการรั่วไหลของข้อมูลที่ใช้ทดสอบ</v>
      </c>
      <c r="O210" s="533" t="str" cm="1">
        <f t="array" aca="1" ref="O210" ca="1">IF(INDIRECT("'"&amp;B210&amp;"'!N"&amp;C210)=0,"N/A",INDIRECT("'"&amp;B210&amp;"'!N"&amp;C210))</f>
        <v>Yes/Partial/No</v>
      </c>
      <c r="P210" s="527" t="str" cm="1">
        <f t="array" aca="1" ref="P210" ca="1">IF(INDIRECT("'"&amp;B210&amp;"'!L"&amp;C210)=0,"",INDIRECT("'"&amp;B210&amp;"'!L"&amp;C210))</f>
        <v/>
      </c>
      <c r="Q210" s="527" t="str">
        <f t="shared" ca="1" si="25"/>
        <v/>
      </c>
      <c r="R210" s="563" t="str">
        <f t="shared" ca="1" si="24"/>
        <v>Yes</v>
      </c>
      <c r="S210" s="528" t="s">
        <v>1627</v>
      </c>
      <c r="T210" s="529" t="str">
        <f t="shared" si="26"/>
        <v/>
      </c>
      <c r="U210" s="529" t="str">
        <f t="shared" si="27"/>
        <v/>
      </c>
      <c r="V210" s="529" t="str">
        <f t="shared" si="28"/>
        <v>X</v>
      </c>
      <c r="W210" s="529" t="str">
        <f t="shared" si="29"/>
        <v/>
      </c>
      <c r="X210" s="529" t="str">
        <f t="shared" si="30"/>
        <v/>
      </c>
      <c r="Y210" s="529" t="str">
        <f t="shared" si="31"/>
        <v/>
      </c>
    </row>
    <row r="211" spans="1:25" ht="37.6" x14ac:dyDescent="0.2">
      <c r="A211" s="253" t="s">
        <v>1229</v>
      </c>
      <c r="B211" s="253" t="s">
        <v>1623</v>
      </c>
      <c r="C211" s="253">
        <v>20</v>
      </c>
      <c r="D211" s="253" t="s">
        <v>1579</v>
      </c>
      <c r="E211" s="534">
        <v>2.1</v>
      </c>
      <c r="F211" s="253" t="s">
        <v>1571</v>
      </c>
      <c r="G211" s="215" t="str" cm="1">
        <f t="array" aca="1" ref="G211" ca="1">IF(INDIRECT("'"&amp;B211&amp;"'!B"&amp;C211)=0,"",INDIRECT("'"&amp;B211&amp;"'!B"&amp;C211))</f>
        <v>x</v>
      </c>
      <c r="H211" s="215" t="str" cm="1">
        <f t="array" aca="1" ref="H211" ca="1">IF(INDIRECT("'"&amp;B211&amp;"'!C"&amp;C211)=0,"",INDIRECT("'"&amp;B211&amp;"'!C"&amp;C211))</f>
        <v>x</v>
      </c>
      <c r="I211" s="215" t="str" cm="1">
        <f t="array" aca="1" ref="I211" ca="1">IF(INDIRECT("'"&amp;B211&amp;"'!D"&amp;C211)=0,"",INDIRECT("'"&amp;B211&amp;"'!D"&amp;C211))</f>
        <v>x</v>
      </c>
      <c r="J211" s="215" t="str" cm="1">
        <f t="array" aca="1" ref="J211" ca="1">IF(INDIRECT("'"&amp;B211&amp;"'!E"&amp;C211)=0,"",INDIRECT("'"&amp;B211&amp;"'!E"&amp;C211))</f>
        <v/>
      </c>
      <c r="K211" s="253" t="str" cm="1">
        <f t="array" aca="1" ref="K211" ca="1">IF(INDIRECT("'"&amp;B211&amp;"'!F"&amp;C211)=0,"N/A",INDIRECT("'"&amp;B211&amp;"'!F"&amp;C211))</f>
        <v>10.3(3)</v>
      </c>
      <c r="L211" s="253" cm="1">
        <f t="array" aca="1" ref="L211" ca="1">IF(INDIRECT("'"&amp;B211&amp;"'!G"&amp;C211)=0,"N/A",INDIRECT("'"&amp;B211&amp;"'!G"&amp;C211))</f>
        <v>3</v>
      </c>
      <c r="M211" s="253" t="str" cm="1">
        <f t="array" aca="1" ref="M211" ca="1">IF(INDIRECT("'"&amp;B211&amp;"'!H"&amp;C211)=0,"N/A",INDIRECT("'"&amp;B211&amp;"'!H"&amp;C211))</f>
        <v>10.3(3) #3</v>
      </c>
      <c r="N211" s="221" t="str" cm="1">
        <f t="array" aca="1" ref="N211" ca="1">IF(INDIRECT("'"&amp;B211&amp;"'!I"&amp;C211)=0,"N/A",INDIRECT("'"&amp;B211&amp;"'!I"&amp;C211))</f>
        <v>มีการควบคุมไม่ให้มีการติดตั้งเครื่องมือการพัฒนาระบบ (development tools) และเครื่องมือแปลโปรแกรม (compilers) ไว้บนระบบที่ให้บริการจริง เพื่อป้องกันความเสี่ยงที่อาจถูกปรับเปลี่ยนหรือติดตั้งโปรแกรมโดยไม่ได้รับอนุญาต</v>
      </c>
      <c r="O211" s="533" t="str" cm="1">
        <f t="array" aca="1" ref="O211" ca="1">IF(INDIRECT("'"&amp;B211&amp;"'!N"&amp;C211)=0,"N/A",INDIRECT("'"&amp;B211&amp;"'!N"&amp;C211))</f>
        <v>Yes/Partial/No</v>
      </c>
      <c r="P211" s="527" t="str" cm="1">
        <f t="array" aca="1" ref="P211" ca="1">IF(INDIRECT("'"&amp;B211&amp;"'!L"&amp;C211)=0,"",INDIRECT("'"&amp;B211&amp;"'!L"&amp;C211))</f>
        <v/>
      </c>
      <c r="Q211" s="527" t="str">
        <f t="shared" ca="1" si="25"/>
        <v/>
      </c>
      <c r="R211" s="563" t="str">
        <f t="shared" ca="1" si="24"/>
        <v>Yes</v>
      </c>
      <c r="S211" s="528" t="s">
        <v>1580</v>
      </c>
      <c r="T211" s="529" t="str">
        <f t="shared" si="26"/>
        <v/>
      </c>
      <c r="U211" s="529" t="str">
        <f t="shared" si="27"/>
        <v/>
      </c>
      <c r="V211" s="529" t="str">
        <f t="shared" si="28"/>
        <v>X</v>
      </c>
      <c r="W211" s="529" t="str">
        <f t="shared" si="29"/>
        <v/>
      </c>
      <c r="X211" s="529" t="str">
        <f t="shared" si="30"/>
        <v/>
      </c>
      <c r="Y211" s="529" t="str">
        <f t="shared" si="31"/>
        <v/>
      </c>
    </row>
    <row r="212" spans="1:25" ht="25.05" x14ac:dyDescent="0.2">
      <c r="A212" s="253" t="s">
        <v>1233</v>
      </c>
      <c r="B212" s="253" t="s">
        <v>1623</v>
      </c>
      <c r="C212" s="253">
        <v>21</v>
      </c>
      <c r="D212" s="253" t="s">
        <v>1579</v>
      </c>
      <c r="E212" s="534">
        <v>2.1</v>
      </c>
      <c r="F212" s="253" t="s">
        <v>1571</v>
      </c>
      <c r="G212" s="215" t="str" cm="1">
        <f t="array" aca="1" ref="G212" ca="1">IF(INDIRECT("'"&amp;B212&amp;"'!B"&amp;C212)=0,"",INDIRECT("'"&amp;B212&amp;"'!B"&amp;C212))</f>
        <v>x</v>
      </c>
      <c r="H212" s="215" t="str" cm="1">
        <f t="array" aca="1" ref="H212" ca="1">IF(INDIRECT("'"&amp;B212&amp;"'!C"&amp;C212)=0,"",INDIRECT("'"&amp;B212&amp;"'!C"&amp;C212))</f>
        <v>x</v>
      </c>
      <c r="I212" s="215" t="str" cm="1">
        <f t="array" aca="1" ref="I212" ca="1">IF(INDIRECT("'"&amp;B212&amp;"'!D"&amp;C212)=0,"",INDIRECT("'"&amp;B212&amp;"'!D"&amp;C212))</f>
        <v>x</v>
      </c>
      <c r="J212" s="215" t="str" cm="1">
        <f t="array" aca="1" ref="J212" ca="1">IF(INDIRECT("'"&amp;B212&amp;"'!E"&amp;C212)=0,"",INDIRECT("'"&amp;B212&amp;"'!E"&amp;C212))</f>
        <v/>
      </c>
      <c r="K212" s="253" t="str" cm="1">
        <f t="array" aca="1" ref="K212" ca="1">IF(INDIRECT("'"&amp;B212&amp;"'!F"&amp;C212)=0,"N/A",INDIRECT("'"&amp;B212&amp;"'!F"&amp;C212))</f>
        <v>10.3(4)</v>
      </c>
      <c r="L212" s="253" cm="1">
        <f t="array" aca="1" ref="L212" ca="1">IF(INDIRECT("'"&amp;B212&amp;"'!G"&amp;C212)=0,"N/A",INDIRECT("'"&amp;B212&amp;"'!G"&amp;C212))</f>
        <v>1</v>
      </c>
      <c r="M212" s="253" t="str" cm="1">
        <f t="array" aca="1" ref="M212" ca="1">IF(INDIRECT("'"&amp;B212&amp;"'!H"&amp;C212)=0,"N/A",INDIRECT("'"&amp;B212&amp;"'!H"&amp;C212))</f>
        <v>10.3(4) #1</v>
      </c>
      <c r="N212" s="221" t="str" cm="1">
        <f t="array" aca="1" ref="N212" ca="1">IF(INDIRECT("'"&amp;B212&amp;"'!I"&amp;C212)=0,"N/A",INDIRECT("'"&amp;B212&amp;"'!I"&amp;C212))</f>
        <v>มีการกำหนดมาตรฐานและระเบียบวิธีปฏิบัติในการออกแบบและพัฒนาระบบอย่างปลอดภัย (secure coding) สอดคล้องกับมาตรฐานสากล รวมทั้งควบคุมให้ผู้พัฒนาระบบปฏิบัติตามมาตรฐานและระเบียบวิธีปฏิบัติดังกล่าว</v>
      </c>
      <c r="O212" s="533" t="str" cm="1">
        <f t="array" aca="1" ref="O212" ca="1">IF(INDIRECT("'"&amp;B212&amp;"'!N"&amp;C212)=0,"N/A",INDIRECT("'"&amp;B212&amp;"'!N"&amp;C212))</f>
        <v>Maturity</v>
      </c>
      <c r="P212" s="527" t="str" cm="1">
        <f t="array" aca="1" ref="P212" ca="1">IF(INDIRECT("'"&amp;B212&amp;"'!L"&amp;C212)=0,"",INDIRECT("'"&amp;B212&amp;"'!L"&amp;C212))</f>
        <v/>
      </c>
      <c r="Q212" s="527" t="str">
        <f t="shared" ca="1" si="25"/>
        <v/>
      </c>
      <c r="R212" s="563" t="str">
        <f t="shared" ca="1" si="24"/>
        <v>Yes</v>
      </c>
      <c r="S212" s="528" t="s">
        <v>1580</v>
      </c>
      <c r="T212" s="529" t="str">
        <f t="shared" si="26"/>
        <v/>
      </c>
      <c r="U212" s="529" t="str">
        <f t="shared" si="27"/>
        <v/>
      </c>
      <c r="V212" s="529" t="str">
        <f t="shared" si="28"/>
        <v>X</v>
      </c>
      <c r="W212" s="529" t="str">
        <f t="shared" si="29"/>
        <v/>
      </c>
      <c r="X212" s="529" t="str">
        <f t="shared" si="30"/>
        <v/>
      </c>
      <c r="Y212" s="529" t="str">
        <f t="shared" si="31"/>
        <v/>
      </c>
    </row>
    <row r="213" spans="1:25" x14ac:dyDescent="0.2">
      <c r="A213" s="253" t="s">
        <v>1243</v>
      </c>
      <c r="B213" s="253" t="s">
        <v>1623</v>
      </c>
      <c r="C213" s="253">
        <v>22</v>
      </c>
      <c r="D213" s="253" t="s">
        <v>1579</v>
      </c>
      <c r="E213" s="534">
        <v>2.1</v>
      </c>
      <c r="F213" s="253" t="s">
        <v>1571</v>
      </c>
      <c r="G213" s="215" t="str" cm="1">
        <f t="array" aca="1" ref="G213" ca="1">IF(INDIRECT("'"&amp;B213&amp;"'!B"&amp;C213)=0,"",INDIRECT("'"&amp;B213&amp;"'!B"&amp;C213))</f>
        <v>x</v>
      </c>
      <c r="H213" s="215" t="str" cm="1">
        <f t="array" aca="1" ref="H213" ca="1">IF(INDIRECT("'"&amp;B213&amp;"'!C"&amp;C213)=0,"",INDIRECT("'"&amp;B213&amp;"'!C"&amp;C213))</f>
        <v>x</v>
      </c>
      <c r="I213" s="215" t="str" cm="1">
        <f t="array" aca="1" ref="I213" ca="1">IF(INDIRECT("'"&amp;B213&amp;"'!D"&amp;C213)=0,"",INDIRECT("'"&amp;B213&amp;"'!D"&amp;C213))</f>
        <v>x</v>
      </c>
      <c r="J213" s="215" t="str" cm="1">
        <f t="array" aca="1" ref="J213" ca="1">IF(INDIRECT("'"&amp;B213&amp;"'!E"&amp;C213)=0,"",INDIRECT("'"&amp;B213&amp;"'!E"&amp;C213))</f>
        <v/>
      </c>
      <c r="K213" s="253" t="str" cm="1">
        <f t="array" aca="1" ref="K213" ca="1">IF(INDIRECT("'"&amp;B213&amp;"'!F"&amp;C213)=0,"N/A",INDIRECT("'"&amp;B213&amp;"'!F"&amp;C213))</f>
        <v>10.3(4)</v>
      </c>
      <c r="L213" s="253" cm="1">
        <f t="array" aca="1" ref="L213" ca="1">IF(INDIRECT("'"&amp;B213&amp;"'!G"&amp;C213)=0,"N/A",INDIRECT("'"&amp;B213&amp;"'!G"&amp;C213))</f>
        <v>2</v>
      </c>
      <c r="M213" s="253" t="str" cm="1">
        <f t="array" aca="1" ref="M213" ca="1">IF(INDIRECT("'"&amp;B213&amp;"'!H"&amp;C213)=0,"N/A",INDIRECT("'"&amp;B213&amp;"'!H"&amp;C213))</f>
        <v>10.3(4) #2</v>
      </c>
      <c r="N213" s="221" t="str" cm="1">
        <f t="array" aca="1" ref="N213" ca="1">IF(INDIRECT("'"&amp;B213&amp;"'!I"&amp;C213)=0,"N/A",INDIRECT("'"&amp;B213&amp;"'!I"&amp;C213))</f>
        <v>มีกระบวนการหรือเครื่องมือควบคุมเวอร์ชันของชุดคำสั่งคอมพิวเตอร์ (source code version control)</v>
      </c>
      <c r="O213" s="533" t="str" cm="1">
        <f t="array" aca="1" ref="O213" ca="1">IF(INDIRECT("'"&amp;B213&amp;"'!N"&amp;C213)=0,"N/A",INDIRECT("'"&amp;B213&amp;"'!N"&amp;C213))</f>
        <v>Maturity</v>
      </c>
      <c r="P213" s="527" t="str" cm="1">
        <f t="array" aca="1" ref="P213" ca="1">IF(INDIRECT("'"&amp;B213&amp;"'!L"&amp;C213)=0,"",INDIRECT("'"&amp;B213&amp;"'!L"&amp;C213))</f>
        <v/>
      </c>
      <c r="Q213" s="527" t="str">
        <f t="shared" ca="1" si="25"/>
        <v/>
      </c>
      <c r="R213" s="563" t="str">
        <f t="shared" ca="1" si="24"/>
        <v>Yes</v>
      </c>
      <c r="S213" s="528" t="s">
        <v>1580</v>
      </c>
      <c r="T213" s="529" t="str">
        <f t="shared" si="26"/>
        <v/>
      </c>
      <c r="U213" s="529" t="str">
        <f t="shared" si="27"/>
        <v/>
      </c>
      <c r="V213" s="529" t="str">
        <f t="shared" si="28"/>
        <v>X</v>
      </c>
      <c r="W213" s="529" t="str">
        <f t="shared" si="29"/>
        <v/>
      </c>
      <c r="X213" s="529" t="str">
        <f t="shared" si="30"/>
        <v/>
      </c>
      <c r="Y213" s="529" t="str">
        <f t="shared" si="31"/>
        <v/>
      </c>
    </row>
    <row r="214" spans="1:25" ht="75.150000000000006" x14ac:dyDescent="0.2">
      <c r="A214" s="253" t="s">
        <v>1252</v>
      </c>
      <c r="B214" s="253" t="s">
        <v>1623</v>
      </c>
      <c r="C214" s="253">
        <v>23</v>
      </c>
      <c r="D214" s="253" t="s">
        <v>1579</v>
      </c>
      <c r="E214" s="534">
        <v>2.1</v>
      </c>
      <c r="F214" s="253" t="s">
        <v>1571</v>
      </c>
      <c r="G214" s="215" t="str" cm="1">
        <f t="array" aca="1" ref="G214" ca="1">IF(INDIRECT("'"&amp;B214&amp;"'!B"&amp;C214)=0,"",INDIRECT("'"&amp;B214&amp;"'!B"&amp;C214))</f>
        <v>x</v>
      </c>
      <c r="H214" s="215" t="str" cm="1">
        <f t="array" aca="1" ref="H214" ca="1">IF(INDIRECT("'"&amp;B214&amp;"'!C"&amp;C214)=0,"",INDIRECT("'"&amp;B214&amp;"'!C"&amp;C214))</f>
        <v>x</v>
      </c>
      <c r="I214" s="215" t="str" cm="1">
        <f t="array" aca="1" ref="I214" ca="1">IF(INDIRECT("'"&amp;B214&amp;"'!D"&amp;C214)=0,"",INDIRECT("'"&amp;B214&amp;"'!D"&amp;C214))</f>
        <v>x</v>
      </c>
      <c r="J214" s="215" t="str" cm="1">
        <f t="array" aca="1" ref="J214" ca="1">IF(INDIRECT("'"&amp;B214&amp;"'!E"&amp;C214)=0,"",INDIRECT("'"&amp;B214&amp;"'!E"&amp;C214))</f>
        <v/>
      </c>
      <c r="K214" s="253" t="str" cm="1">
        <f t="array" aca="1" ref="K214" ca="1">IF(INDIRECT("'"&amp;B214&amp;"'!F"&amp;C214)=0,"N/A",INDIRECT("'"&amp;B214&amp;"'!F"&amp;C214))</f>
        <v>10.3(4)</v>
      </c>
      <c r="L214" s="253" cm="1">
        <f t="array" aca="1" ref="L214" ca="1">IF(INDIRECT("'"&amp;B214&amp;"'!G"&amp;C214)=0,"N/A",INDIRECT("'"&amp;B214&amp;"'!G"&amp;C214))</f>
        <v>3</v>
      </c>
      <c r="M214" s="253" t="str" cm="1">
        <f t="array" aca="1" ref="M214" ca="1">IF(INDIRECT("'"&amp;B214&amp;"'!H"&amp;C214)=0,"N/A",INDIRECT("'"&amp;B214&amp;"'!H"&amp;C214))</f>
        <v>10.3(4) #3</v>
      </c>
      <c r="N214" s="221" t="str" cm="1">
        <f t="array" aca="1" ref="N214" ca="1">IF(INDIRECT("'"&amp;B214&amp;"'!I"&amp;C214)=0,"N/A",INDIRECT("'"&amp;B214&amp;"'!I"&amp;C214))</f>
        <v xml:space="preserve">มีการสอบทานคำสั่งในการเขียนโปรแกรม (source code review) โดยใช้ 
   (1) ระบบอัตโนมัติ (automated review) หรือ
   (2) แบบ manual ซึ่งดำเนินการโดยบุคคลที่ไม่ใช่ผู้พัฒนาโปรแกรม
เมื่อมีการพัฒนาหรือแก้ไขเปลี่ยนแปลงระบบ IT ที่มีความสำคัญ ซึ่งมีความเสี่ยงด้านความมั่นคงปลอดภัย เพื่อให้สามารถระบุช่องโหว่ด้านความมั่นคงปลอดภัย และปิดช่องโหว่ที่พบก่อนนำระบบไปใช้งานจริง </v>
      </c>
      <c r="O214" s="533" t="str" cm="1">
        <f t="array" aca="1" ref="O214" ca="1">IF(INDIRECT("'"&amp;B214&amp;"'!N"&amp;C214)=0,"N/A",INDIRECT("'"&amp;B214&amp;"'!N"&amp;C214))</f>
        <v>Maturity</v>
      </c>
      <c r="P214" s="527" t="str" cm="1">
        <f t="array" aca="1" ref="P214" ca="1">IF(INDIRECT("'"&amp;B214&amp;"'!L"&amp;C214)=0,"",INDIRECT("'"&amp;B214&amp;"'!L"&amp;C214))</f>
        <v/>
      </c>
      <c r="Q214" s="527" t="str">
        <f t="shared" ca="1" si="25"/>
        <v/>
      </c>
      <c r="R214" s="563" t="str">
        <f t="shared" ca="1" si="24"/>
        <v>Yes</v>
      </c>
      <c r="S214" s="528" t="s">
        <v>1580</v>
      </c>
      <c r="T214" s="529" t="str">
        <f t="shared" si="26"/>
        <v/>
      </c>
      <c r="U214" s="529" t="str">
        <f t="shared" si="27"/>
        <v/>
      </c>
      <c r="V214" s="529" t="str">
        <f t="shared" si="28"/>
        <v>X</v>
      </c>
      <c r="W214" s="529" t="str">
        <f t="shared" si="29"/>
        <v/>
      </c>
      <c r="X214" s="529" t="str">
        <f t="shared" si="30"/>
        <v/>
      </c>
      <c r="Y214" s="529" t="str">
        <f t="shared" si="31"/>
        <v/>
      </c>
    </row>
    <row r="215" spans="1:25" ht="37.6" x14ac:dyDescent="0.2">
      <c r="A215" s="253" t="s">
        <v>1261</v>
      </c>
      <c r="B215" s="253" t="s">
        <v>1623</v>
      </c>
      <c r="C215" s="253">
        <v>24</v>
      </c>
      <c r="D215" s="253" t="s">
        <v>1579</v>
      </c>
      <c r="E215" s="534">
        <v>2.1</v>
      </c>
      <c r="F215" s="253" t="s">
        <v>1574</v>
      </c>
      <c r="G215" s="215" t="str" cm="1">
        <f t="array" aca="1" ref="G215" ca="1">IF(INDIRECT("'"&amp;B215&amp;"'!B"&amp;C215)=0,"",INDIRECT("'"&amp;B215&amp;"'!B"&amp;C215))</f>
        <v>x</v>
      </c>
      <c r="H215" s="215" t="str" cm="1">
        <f t="array" aca="1" ref="H215" ca="1">IF(INDIRECT("'"&amp;B215&amp;"'!C"&amp;C215)=0,"",INDIRECT("'"&amp;B215&amp;"'!C"&amp;C215))</f>
        <v/>
      </c>
      <c r="I215" s="215" t="str" cm="1">
        <f t="array" aca="1" ref="I215" ca="1">IF(INDIRECT("'"&amp;B215&amp;"'!D"&amp;C215)=0,"",INDIRECT("'"&amp;B215&amp;"'!D"&amp;C215))</f>
        <v/>
      </c>
      <c r="J215" s="215" t="str" cm="1">
        <f t="array" aca="1" ref="J215" ca="1">IF(INDIRECT("'"&amp;B215&amp;"'!E"&amp;C215)=0,"",INDIRECT("'"&amp;B215&amp;"'!E"&amp;C215))</f>
        <v/>
      </c>
      <c r="K215" s="253" t="str" cm="1">
        <f t="array" aca="1" ref="K215" ca="1">IF(INDIRECT("'"&amp;B215&amp;"'!F"&amp;C215)=0,"N/A",INDIRECT("'"&amp;B215&amp;"'!F"&amp;C215))</f>
        <v>10.3(4)</v>
      </c>
      <c r="L215" s="253" cm="1">
        <f t="array" aca="1" ref="L215" ca="1">IF(INDIRECT("'"&amp;B215&amp;"'!G"&amp;C215)=0,"N/A",INDIRECT("'"&amp;B215&amp;"'!G"&amp;C215))</f>
        <v>4</v>
      </c>
      <c r="M215" s="253" t="str" cm="1">
        <f t="array" aca="1" ref="M215" ca="1">IF(INDIRECT("'"&amp;B215&amp;"'!H"&amp;C215)=0,"N/A",INDIRECT("'"&amp;B215&amp;"'!H"&amp;C215))</f>
        <v>10.3(4) #4</v>
      </c>
      <c r="N215" s="221" t="str" cm="1">
        <f t="array" aca="1" ref="N215" ca="1">IF(INDIRECT("'"&amp;B215&amp;"'!I"&amp;C215)=0,"N/A",INDIRECT("'"&amp;B215&amp;"'!I"&amp;C215))</f>
        <v>มีการสอบทานคำสั่งในการเขียนโปรแกรมแบบ manual (manual source code review) โดยผู้เชี่ยวชาญที่มีความเป็นอิสระจากผู้พัฒนาโปรแกรม เมื่อมีการพัฒนาระบบ IT ที่มีความสำคัญ หรือมีการเปลี่ยนแปลงที่มีความเสี่ยงด้านความมั่นคงปลอดภัยของระบบ IT ที่มีความสำคัญ</v>
      </c>
      <c r="O215" s="533" t="str" cm="1">
        <f t="array" aca="1" ref="O215" ca="1">IF(INDIRECT("'"&amp;B215&amp;"'!N"&amp;C215)=0,"N/A",INDIRECT("'"&amp;B215&amp;"'!N"&amp;C215))</f>
        <v>Yes/Partial/No</v>
      </c>
      <c r="P215" s="527" t="str" cm="1">
        <f t="array" aca="1" ref="P215" ca="1">IF(INDIRECT("'"&amp;B215&amp;"'!L"&amp;C215)=0,"",INDIRECT("'"&amp;B215&amp;"'!L"&amp;C215))</f>
        <v/>
      </c>
      <c r="Q215" s="527" t="str">
        <f t="shared" ca="1" si="25"/>
        <v/>
      </c>
      <c r="R215" s="563" t="str">
        <f t="shared" ca="1" si="24"/>
        <v>Yes</v>
      </c>
      <c r="S215" s="528" t="s">
        <v>1580</v>
      </c>
      <c r="T215" s="529" t="str">
        <f t="shared" si="26"/>
        <v/>
      </c>
      <c r="U215" s="529" t="str">
        <f t="shared" si="27"/>
        <v/>
      </c>
      <c r="V215" s="529" t="str">
        <f t="shared" si="28"/>
        <v>X</v>
      </c>
      <c r="W215" s="529" t="str">
        <f t="shared" si="29"/>
        <v/>
      </c>
      <c r="X215" s="529" t="str">
        <f t="shared" si="30"/>
        <v/>
      </c>
      <c r="Y215" s="529" t="str">
        <f t="shared" si="31"/>
        <v/>
      </c>
    </row>
    <row r="216" spans="1:25" ht="112.7" x14ac:dyDescent="0.2">
      <c r="A216" s="253" t="s">
        <v>1265</v>
      </c>
      <c r="B216" s="253" t="s">
        <v>1623</v>
      </c>
      <c r="C216" s="253">
        <v>25</v>
      </c>
      <c r="D216" s="253" t="s">
        <v>1579</v>
      </c>
      <c r="E216" s="534">
        <v>2.1</v>
      </c>
      <c r="F216" s="253" t="s">
        <v>1571</v>
      </c>
      <c r="G216" s="215" t="str" cm="1">
        <f t="array" aca="1" ref="G216" ca="1">IF(INDIRECT("'"&amp;B216&amp;"'!B"&amp;C216)=0,"",INDIRECT("'"&amp;B216&amp;"'!B"&amp;C216))</f>
        <v>x</v>
      </c>
      <c r="H216" s="215" t="str" cm="1">
        <f t="array" aca="1" ref="H216" ca="1">IF(INDIRECT("'"&amp;B216&amp;"'!C"&amp;C216)=0,"",INDIRECT("'"&amp;B216&amp;"'!C"&amp;C216))</f>
        <v>x</v>
      </c>
      <c r="I216" s="215" t="str" cm="1">
        <f t="array" aca="1" ref="I216" ca="1">IF(INDIRECT("'"&amp;B216&amp;"'!D"&amp;C216)=0,"",INDIRECT("'"&amp;B216&amp;"'!D"&amp;C216))</f>
        <v>x</v>
      </c>
      <c r="J216" s="215" t="str" cm="1">
        <f t="array" aca="1" ref="J216" ca="1">IF(INDIRECT("'"&amp;B216&amp;"'!E"&amp;C216)=0,"",INDIRECT("'"&amp;B216&amp;"'!E"&amp;C216))</f>
        <v/>
      </c>
      <c r="K216" s="253" t="str" cm="1">
        <f t="array" aca="1" ref="K216" ca="1">IF(INDIRECT("'"&amp;B216&amp;"'!F"&amp;C216)=0,"N/A",INDIRECT("'"&amp;B216&amp;"'!F"&amp;C216))</f>
        <v>10.3(5)</v>
      </c>
      <c r="L216" s="253" cm="1">
        <f t="array" aca="1" ref="L216" ca="1">IF(INDIRECT("'"&amp;B216&amp;"'!G"&amp;C216)=0,"N/A",INDIRECT("'"&amp;B216&amp;"'!G"&amp;C216))</f>
        <v>1</v>
      </c>
      <c r="M216" s="253" t="str" cm="1">
        <f t="array" aca="1" ref="M216" ca="1">IF(INDIRECT("'"&amp;B216&amp;"'!H"&amp;C216)=0,"N/A",INDIRECT("'"&amp;B216&amp;"'!H"&amp;C216))</f>
        <v>10.3(5) #1</v>
      </c>
      <c r="N216" s="221" t="str" cm="1">
        <f t="array" aca="1" ref="N216" ca="1">IF(INDIRECT("'"&amp;B216&amp;"'!I"&amp;C216)=0,"N/A",INDIRECT("'"&amp;B216&amp;"'!I"&amp;C216))</f>
        <v>มีการทดสอบระบบก่อนนำไปใช้งานหรือให้บริการจริง เพื่อให้มั่นใจได้ว่าระบบดังกล่าวสามารถทำงานได้อย่างถูกต้อง ปลอดภัย มีประสิทธิภาพ และเป็นไปตามความต้องการของผู้ใช้งาน โดยครอบคลุมอย่างน้อย ดังนี้
    (1) ทดสอบการทำงานของแต่ละหน่วย (unit test)
    (2) ทดสอบการทำงานของระบบและการเชื่อมต่อ (system and integration test)
    (3) ทดสอบความต้องการของผู้ใช้งาน (user acceptance test)
    (4) ทดสอบการรักษาความปลอดภัย (security test) ได้แก่ การประเมินช่องโหว่ (vulnerabilities assessment) และ
การทดสอบการเจาะระบบ (penetration test) ตามความจำเป็น สำหรับระบบใหม่ ที่มีการเชื่อมต่อกับระบบ IT ที่มีนัยสำคัญ เพื่อให้สามารถตรวจพบช่องโหว่และดำเนินการปรับปรุงแก้ไขอย่างเหมาะสมก่อนเริ่มให้บริการจริง</v>
      </c>
      <c r="O216" s="533" t="str" cm="1">
        <f t="array" aca="1" ref="O216" ca="1">IF(INDIRECT("'"&amp;B216&amp;"'!N"&amp;C216)=0,"N/A",INDIRECT("'"&amp;B216&amp;"'!N"&amp;C216))</f>
        <v>Yes/Partial/No</v>
      </c>
      <c r="P216" s="527" t="str" cm="1">
        <f t="array" aca="1" ref="P216" ca="1">IF(INDIRECT("'"&amp;B216&amp;"'!L"&amp;C216)=0,"",INDIRECT("'"&amp;B216&amp;"'!L"&amp;C216))</f>
        <v/>
      </c>
      <c r="Q216" s="527" t="str">
        <f t="shared" ca="1" si="25"/>
        <v/>
      </c>
      <c r="R216" s="563" t="str">
        <f t="shared" ca="1" si="24"/>
        <v>Yes</v>
      </c>
      <c r="S216" s="528" t="s">
        <v>1580</v>
      </c>
      <c r="T216" s="529" t="str">
        <f t="shared" si="26"/>
        <v/>
      </c>
      <c r="U216" s="529" t="str">
        <f t="shared" si="27"/>
        <v/>
      </c>
      <c r="V216" s="529" t="str">
        <f t="shared" si="28"/>
        <v>X</v>
      </c>
      <c r="W216" s="529" t="str">
        <f t="shared" si="29"/>
        <v/>
      </c>
      <c r="X216" s="529" t="str">
        <f t="shared" si="30"/>
        <v/>
      </c>
      <c r="Y216" s="529" t="str">
        <f t="shared" si="31"/>
        <v/>
      </c>
    </row>
    <row r="217" spans="1:25" ht="37.6" x14ac:dyDescent="0.2">
      <c r="A217" s="253" t="s">
        <v>1270</v>
      </c>
      <c r="B217" s="253" t="s">
        <v>1623</v>
      </c>
      <c r="C217" s="253">
        <v>26</v>
      </c>
      <c r="D217" s="253" t="s">
        <v>1579</v>
      </c>
      <c r="E217" s="534">
        <v>2.1</v>
      </c>
      <c r="F217" s="253" t="s">
        <v>1571</v>
      </c>
      <c r="G217" s="215" t="str" cm="1">
        <f t="array" aca="1" ref="G217" ca="1">IF(INDIRECT("'"&amp;B217&amp;"'!B"&amp;C217)=0,"",INDIRECT("'"&amp;B217&amp;"'!B"&amp;C217))</f>
        <v>x</v>
      </c>
      <c r="H217" s="215" t="str" cm="1">
        <f t="array" aca="1" ref="H217" ca="1">IF(INDIRECT("'"&amp;B217&amp;"'!C"&amp;C217)=0,"",INDIRECT("'"&amp;B217&amp;"'!C"&amp;C217))</f>
        <v>x</v>
      </c>
      <c r="I217" s="215" t="str" cm="1">
        <f t="array" aca="1" ref="I217" ca="1">IF(INDIRECT("'"&amp;B217&amp;"'!D"&amp;C217)=0,"",INDIRECT("'"&amp;B217&amp;"'!D"&amp;C217))</f>
        <v>x</v>
      </c>
      <c r="J217" s="215" t="str" cm="1">
        <f t="array" aca="1" ref="J217" ca="1">IF(INDIRECT("'"&amp;B217&amp;"'!E"&amp;C217)=0,"",INDIRECT("'"&amp;B217&amp;"'!E"&amp;C217))</f>
        <v/>
      </c>
      <c r="K217" s="253" t="str" cm="1">
        <f t="array" aca="1" ref="K217" ca="1">IF(INDIRECT("'"&amp;B217&amp;"'!F"&amp;C217)=0,"N/A",INDIRECT("'"&amp;B217&amp;"'!F"&amp;C217))</f>
        <v>10.3(5)</v>
      </c>
      <c r="L217" s="253" cm="1">
        <f t="array" aca="1" ref="L217" ca="1">IF(INDIRECT("'"&amp;B217&amp;"'!G"&amp;C217)=0,"N/A",INDIRECT("'"&amp;B217&amp;"'!G"&amp;C217))</f>
        <v>2</v>
      </c>
      <c r="M217" s="253" t="str" cm="1">
        <f t="array" aca="1" ref="M217" ca="1">IF(INDIRECT("'"&amp;B217&amp;"'!H"&amp;C217)=0,"N/A",INDIRECT("'"&amp;B217&amp;"'!H"&amp;C217))</f>
        <v>10.3(5) #2</v>
      </c>
      <c r="N217" s="221" t="str" cm="1">
        <f t="array" aca="1" ref="N217" ca="1">IF(INDIRECT("'"&amp;B217&amp;"'!I"&amp;C217)=0,"N/A",INDIRECT("'"&amp;B217&amp;"'!I"&amp;C217))</f>
        <v>มีการกำหนดสถานการณ์ที่ใช้ทดสอบ (test scenario) หรือกรณีที่ใช้ทดสอบ (test case) แบบ end-to-end และมีกระบวนการสอบทาน test scenario หรือ test case เพื่อให้มั่นใจว่ามีความครอบคลุมเพียงพอและตรงกับความต้องการของหน่วยงานธุรกิจ (business requirement)</v>
      </c>
      <c r="O217" s="533" t="str" cm="1">
        <f t="array" aca="1" ref="O217" ca="1">IF(INDIRECT("'"&amp;B217&amp;"'!N"&amp;C217)=0,"N/A",INDIRECT("'"&amp;B217&amp;"'!N"&amp;C217))</f>
        <v>Yes/Partial/No</v>
      </c>
      <c r="P217" s="527" t="str" cm="1">
        <f t="array" aca="1" ref="P217" ca="1">IF(INDIRECT("'"&amp;B217&amp;"'!L"&amp;C217)=0,"",INDIRECT("'"&amp;B217&amp;"'!L"&amp;C217))</f>
        <v/>
      </c>
      <c r="Q217" s="527" t="str">
        <f t="shared" ca="1" si="25"/>
        <v/>
      </c>
      <c r="R217" s="563" t="str">
        <f t="shared" ca="1" si="24"/>
        <v>Yes</v>
      </c>
      <c r="S217" s="528" t="s">
        <v>1580</v>
      </c>
      <c r="T217" s="529" t="str">
        <f t="shared" si="26"/>
        <v/>
      </c>
      <c r="U217" s="529" t="str">
        <f t="shared" si="27"/>
        <v/>
      </c>
      <c r="V217" s="529" t="str">
        <f t="shared" si="28"/>
        <v>X</v>
      </c>
      <c r="W217" s="529" t="str">
        <f t="shared" si="29"/>
        <v/>
      </c>
      <c r="X217" s="529" t="str">
        <f t="shared" si="30"/>
        <v/>
      </c>
      <c r="Y217" s="529" t="str">
        <f t="shared" si="31"/>
        <v/>
      </c>
    </row>
    <row r="218" spans="1:25" ht="25.05" x14ac:dyDescent="0.2">
      <c r="A218" s="253" t="s">
        <v>1274</v>
      </c>
      <c r="B218" s="253" t="s">
        <v>1623</v>
      </c>
      <c r="C218" s="253">
        <v>27</v>
      </c>
      <c r="D218" s="253" t="s">
        <v>1579</v>
      </c>
      <c r="E218" s="534">
        <v>2.1</v>
      </c>
      <c r="F218" s="253" t="s">
        <v>1571</v>
      </c>
      <c r="G218" s="215" t="str" cm="1">
        <f t="array" aca="1" ref="G218" ca="1">IF(INDIRECT("'"&amp;B218&amp;"'!B"&amp;C218)=0,"",INDIRECT("'"&amp;B218&amp;"'!B"&amp;C218))</f>
        <v>x</v>
      </c>
      <c r="H218" s="215" t="str" cm="1">
        <f t="array" aca="1" ref="H218" ca="1">IF(INDIRECT("'"&amp;B218&amp;"'!C"&amp;C218)=0,"",INDIRECT("'"&amp;B218&amp;"'!C"&amp;C218))</f>
        <v>x</v>
      </c>
      <c r="I218" s="215" t="str" cm="1">
        <f t="array" aca="1" ref="I218" ca="1">IF(INDIRECT("'"&amp;B218&amp;"'!D"&amp;C218)=0,"",INDIRECT("'"&amp;B218&amp;"'!D"&amp;C218))</f>
        <v>x</v>
      </c>
      <c r="J218" s="215" t="str" cm="1">
        <f t="array" aca="1" ref="J218" ca="1">IF(INDIRECT("'"&amp;B218&amp;"'!E"&amp;C218)=0,"",INDIRECT("'"&amp;B218&amp;"'!E"&amp;C218))</f>
        <v/>
      </c>
      <c r="K218" s="253" t="str" cm="1">
        <f t="array" aca="1" ref="K218" ca="1">IF(INDIRECT("'"&amp;B218&amp;"'!F"&amp;C218)=0,"N/A",INDIRECT("'"&amp;B218&amp;"'!F"&amp;C218))</f>
        <v>10.3(5)</v>
      </c>
      <c r="L218" s="253" cm="1">
        <f t="array" aca="1" ref="L218" ca="1">IF(INDIRECT("'"&amp;B218&amp;"'!G"&amp;C218)=0,"N/A",INDIRECT("'"&amp;B218&amp;"'!G"&amp;C218))</f>
        <v>3</v>
      </c>
      <c r="M218" s="253" t="str" cm="1">
        <f t="array" aca="1" ref="M218" ca="1">IF(INDIRECT("'"&amp;B218&amp;"'!H"&amp;C218)=0,"N/A",INDIRECT("'"&amp;B218&amp;"'!H"&amp;C218))</f>
        <v>10.3(5) #3</v>
      </c>
      <c r="N218" s="221" t="str" cm="1">
        <f t="array" aca="1" ref="N218" ca="1">IF(INDIRECT("'"&amp;B218&amp;"'!I"&amp;C218)=0,"N/A",INDIRECT("'"&amp;B218&amp;"'!I"&amp;C218))</f>
        <v>มีการทดสอบระบบบนสภาพแวดล้อม (test environment) ที่ใกล้เคียงระบบที่ให้บริการจริง เพื่อลดความเสี่ยงที่อาจเกิดขึ้นจากการเปลี่ยนแปลงบนระบบที่ให้บริการจริง</v>
      </c>
      <c r="O218" s="533" t="str" cm="1">
        <f t="array" aca="1" ref="O218" ca="1">IF(INDIRECT("'"&amp;B218&amp;"'!N"&amp;C218)=0,"N/A",INDIRECT("'"&amp;B218&amp;"'!N"&amp;C218))</f>
        <v>Yes/Partial/No</v>
      </c>
      <c r="P218" s="527" t="str" cm="1">
        <f t="array" aca="1" ref="P218" ca="1">IF(INDIRECT("'"&amp;B218&amp;"'!L"&amp;C218)=0,"",INDIRECT("'"&amp;B218&amp;"'!L"&amp;C218))</f>
        <v/>
      </c>
      <c r="Q218" s="527" t="str">
        <f t="shared" ca="1" si="25"/>
        <v/>
      </c>
      <c r="R218" s="563" t="str">
        <f t="shared" ca="1" si="24"/>
        <v>Yes</v>
      </c>
      <c r="S218" s="528" t="s">
        <v>1580</v>
      </c>
      <c r="T218" s="529" t="str">
        <f t="shared" si="26"/>
        <v/>
      </c>
      <c r="U218" s="529" t="str">
        <f t="shared" si="27"/>
        <v/>
      </c>
      <c r="V218" s="529" t="str">
        <f t="shared" si="28"/>
        <v>X</v>
      </c>
      <c r="W218" s="529" t="str">
        <f t="shared" si="29"/>
        <v/>
      </c>
      <c r="X218" s="529" t="str">
        <f t="shared" si="30"/>
        <v/>
      </c>
      <c r="Y218" s="529" t="str">
        <f t="shared" si="31"/>
        <v/>
      </c>
    </row>
    <row r="219" spans="1:25" ht="25.05" x14ac:dyDescent="0.2">
      <c r="A219" s="253" t="s">
        <v>1278</v>
      </c>
      <c r="B219" s="253" t="s">
        <v>1623</v>
      </c>
      <c r="C219" s="253">
        <v>28</v>
      </c>
      <c r="D219" s="253" t="s">
        <v>1579</v>
      </c>
      <c r="E219" s="534">
        <v>2.1</v>
      </c>
      <c r="F219" s="253" t="s">
        <v>1571</v>
      </c>
      <c r="G219" s="215" t="str" cm="1">
        <f t="array" aca="1" ref="G219" ca="1">IF(INDIRECT("'"&amp;B219&amp;"'!B"&amp;C219)=0,"",INDIRECT("'"&amp;B219&amp;"'!B"&amp;C219))</f>
        <v>x</v>
      </c>
      <c r="H219" s="215" t="str" cm="1">
        <f t="array" aca="1" ref="H219" ca="1">IF(INDIRECT("'"&amp;B219&amp;"'!C"&amp;C219)=0,"",INDIRECT("'"&amp;B219&amp;"'!C"&amp;C219))</f>
        <v>x</v>
      </c>
      <c r="I219" s="215" t="str" cm="1">
        <f t="array" aca="1" ref="I219" ca="1">IF(INDIRECT("'"&amp;B219&amp;"'!D"&amp;C219)=0,"",INDIRECT("'"&amp;B219&amp;"'!D"&amp;C219))</f>
        <v>x</v>
      </c>
      <c r="J219" s="215" t="str" cm="1">
        <f t="array" aca="1" ref="J219" ca="1">IF(INDIRECT("'"&amp;B219&amp;"'!E"&amp;C219)=0,"",INDIRECT("'"&amp;B219&amp;"'!E"&amp;C219))</f>
        <v/>
      </c>
      <c r="K219" s="253" t="str" cm="1">
        <f t="array" aca="1" ref="K219" ca="1">IF(INDIRECT("'"&amp;B219&amp;"'!F"&amp;C219)=0,"N/A",INDIRECT("'"&amp;B219&amp;"'!F"&amp;C219))</f>
        <v>10.3(5)</v>
      </c>
      <c r="L219" s="253" cm="1">
        <f t="array" aca="1" ref="L219" ca="1">IF(INDIRECT("'"&amp;B219&amp;"'!G"&amp;C219)=0,"N/A",INDIRECT("'"&amp;B219&amp;"'!G"&amp;C219))</f>
        <v>4</v>
      </c>
      <c r="M219" s="253" t="str" cm="1">
        <f t="array" aca="1" ref="M219" ca="1">IF(INDIRECT("'"&amp;B219&amp;"'!H"&amp;C219)=0,"N/A",INDIRECT("'"&amp;B219&amp;"'!H"&amp;C219))</f>
        <v>10.3(5) #4</v>
      </c>
      <c r="N219" s="221" t="str" cm="1">
        <f t="array" aca="1" ref="N219" ca="1">IF(INDIRECT("'"&amp;B219&amp;"'!I"&amp;C219)=0,"N/A",INDIRECT("'"&amp;B219&amp;"'!I"&amp;C219))</f>
        <v>มีการจัดการข้อบกพร่อง (defect) ของระบบที่พบในการทดสอบ โดยพิจารณาแนวทางปรับปรุง หรือลดความเสี่ยงและผลกระทบของข้อบกพร่องดังกล่าว</v>
      </c>
      <c r="O219" s="533" t="str" cm="1">
        <f t="array" aca="1" ref="O219" ca="1">IF(INDIRECT("'"&amp;B219&amp;"'!N"&amp;C219)=0,"N/A",INDIRECT("'"&amp;B219&amp;"'!N"&amp;C219))</f>
        <v>Yes/Partial/No</v>
      </c>
      <c r="P219" s="527" t="str" cm="1">
        <f t="array" aca="1" ref="P219" ca="1">IF(INDIRECT("'"&amp;B219&amp;"'!L"&amp;C219)=0,"",INDIRECT("'"&amp;B219&amp;"'!L"&amp;C219))</f>
        <v/>
      </c>
      <c r="Q219" s="527" t="str">
        <f t="shared" ca="1" si="25"/>
        <v/>
      </c>
      <c r="R219" s="563" t="str">
        <f t="shared" ca="1" si="24"/>
        <v>Yes</v>
      </c>
      <c r="S219" s="528" t="s">
        <v>1580</v>
      </c>
      <c r="T219" s="529" t="str">
        <f t="shared" si="26"/>
        <v/>
      </c>
      <c r="U219" s="529" t="str">
        <f t="shared" si="27"/>
        <v/>
      </c>
      <c r="V219" s="529" t="str">
        <f t="shared" si="28"/>
        <v>X</v>
      </c>
      <c r="W219" s="529" t="str">
        <f t="shared" si="29"/>
        <v/>
      </c>
      <c r="X219" s="529" t="str">
        <f t="shared" si="30"/>
        <v/>
      </c>
      <c r="Y219" s="529" t="str">
        <f t="shared" si="31"/>
        <v/>
      </c>
    </row>
    <row r="220" spans="1:25" x14ac:dyDescent="0.2">
      <c r="A220" s="253" t="s">
        <v>1282</v>
      </c>
      <c r="B220" s="253" t="s">
        <v>1623</v>
      </c>
      <c r="C220" s="253">
        <v>29</v>
      </c>
      <c r="D220" s="253" t="s">
        <v>1579</v>
      </c>
      <c r="E220" s="534">
        <v>2.1</v>
      </c>
      <c r="F220" s="253" t="s">
        <v>1571</v>
      </c>
      <c r="G220" s="215" t="str" cm="1">
        <f t="array" aca="1" ref="G220" ca="1">IF(INDIRECT("'"&amp;B220&amp;"'!B"&amp;C220)=0,"",INDIRECT("'"&amp;B220&amp;"'!B"&amp;C220))</f>
        <v>x</v>
      </c>
      <c r="H220" s="215" t="str" cm="1">
        <f t="array" aca="1" ref="H220" ca="1">IF(INDIRECT("'"&amp;B220&amp;"'!C"&amp;C220)=0,"",INDIRECT("'"&amp;B220&amp;"'!C"&amp;C220))</f>
        <v>x</v>
      </c>
      <c r="I220" s="215" t="str" cm="1">
        <f t="array" aca="1" ref="I220" ca="1">IF(INDIRECT("'"&amp;B220&amp;"'!D"&amp;C220)=0,"",INDIRECT("'"&amp;B220&amp;"'!D"&amp;C220))</f>
        <v>x</v>
      </c>
      <c r="J220" s="215" t="str" cm="1">
        <f t="array" aca="1" ref="J220" ca="1">IF(INDIRECT("'"&amp;B220&amp;"'!E"&amp;C220)=0,"",INDIRECT("'"&amp;B220&amp;"'!E"&amp;C220))</f>
        <v/>
      </c>
      <c r="K220" s="253" t="str" cm="1">
        <f t="array" aca="1" ref="K220" ca="1">IF(INDIRECT("'"&amp;B220&amp;"'!F"&amp;C220)=0,"N/A",INDIRECT("'"&amp;B220&amp;"'!F"&amp;C220))</f>
        <v>10.3(5)</v>
      </c>
      <c r="L220" s="253" cm="1">
        <f t="array" aca="1" ref="L220" ca="1">IF(INDIRECT("'"&amp;B220&amp;"'!G"&amp;C220)=0,"N/A",INDIRECT("'"&amp;B220&amp;"'!G"&amp;C220))</f>
        <v>5</v>
      </c>
      <c r="M220" s="253" t="str" cm="1">
        <f t="array" aca="1" ref="M220" ca="1">IF(INDIRECT("'"&amp;B220&amp;"'!H"&amp;C220)=0,"N/A",INDIRECT("'"&amp;B220&amp;"'!H"&amp;C220))</f>
        <v>10.3(5) #5</v>
      </c>
      <c r="N220" s="221" t="str" cm="1">
        <f t="array" aca="1" ref="N220" ca="1">IF(INDIRECT("'"&amp;B220&amp;"'!I"&amp;C220)=0,"N/A",INDIRECT("'"&amp;B220&amp;"'!I"&amp;C220))</f>
        <v>มีการขออนุมัติผลการทดสอบจากฝ่ายงานที่เกี่ยวข้อง ก่อนนำระบบขึ้นใช้งานจริง</v>
      </c>
      <c r="O220" s="533" t="str" cm="1">
        <f t="array" aca="1" ref="O220" ca="1">IF(INDIRECT("'"&amp;B220&amp;"'!N"&amp;C220)=0,"N/A",INDIRECT("'"&amp;B220&amp;"'!N"&amp;C220))</f>
        <v>Yes/Partial/No</v>
      </c>
      <c r="P220" s="527" t="str" cm="1">
        <f t="array" aca="1" ref="P220" ca="1">IF(INDIRECT("'"&amp;B220&amp;"'!L"&amp;C220)=0,"",INDIRECT("'"&amp;B220&amp;"'!L"&amp;C220))</f>
        <v/>
      </c>
      <c r="Q220" s="527" t="str">
        <f t="shared" ca="1" si="25"/>
        <v/>
      </c>
      <c r="R220" s="563" t="str">
        <f t="shared" ca="1" si="24"/>
        <v>Yes</v>
      </c>
      <c r="S220" s="528" t="s">
        <v>1572</v>
      </c>
      <c r="T220" s="529" t="str">
        <f t="shared" si="26"/>
        <v>X</v>
      </c>
      <c r="U220" s="529" t="str">
        <f t="shared" si="27"/>
        <v/>
      </c>
      <c r="V220" s="529" t="str">
        <f t="shared" si="28"/>
        <v/>
      </c>
      <c r="W220" s="529" t="str">
        <f t="shared" si="29"/>
        <v/>
      </c>
      <c r="X220" s="529" t="str">
        <f t="shared" si="30"/>
        <v/>
      </c>
      <c r="Y220" s="529" t="str">
        <f t="shared" si="31"/>
        <v/>
      </c>
    </row>
    <row r="221" spans="1:25" ht="37.6" x14ac:dyDescent="0.2">
      <c r="A221" s="253" t="s">
        <v>1286</v>
      </c>
      <c r="B221" s="253" t="s">
        <v>1623</v>
      </c>
      <c r="C221" s="253">
        <v>30</v>
      </c>
      <c r="D221" s="253" t="s">
        <v>1579</v>
      </c>
      <c r="E221" s="534">
        <v>2.1</v>
      </c>
      <c r="F221" s="253" t="s">
        <v>1571</v>
      </c>
      <c r="G221" s="215" t="str" cm="1">
        <f t="array" aca="1" ref="G221" ca="1">IF(INDIRECT("'"&amp;B221&amp;"'!B"&amp;C221)=0,"",INDIRECT("'"&amp;B221&amp;"'!B"&amp;C221))</f>
        <v>x</v>
      </c>
      <c r="H221" s="215" t="str" cm="1">
        <f t="array" aca="1" ref="H221" ca="1">IF(INDIRECT("'"&amp;B221&amp;"'!C"&amp;C221)=0,"",INDIRECT("'"&amp;B221&amp;"'!C"&amp;C221))</f>
        <v>x</v>
      </c>
      <c r="I221" s="215" t="str" cm="1">
        <f t="array" aca="1" ref="I221" ca="1">IF(INDIRECT("'"&amp;B221&amp;"'!D"&amp;C221)=0,"",INDIRECT("'"&amp;B221&amp;"'!D"&amp;C221))</f>
        <v>x</v>
      </c>
      <c r="J221" s="215" t="str" cm="1">
        <f t="array" aca="1" ref="J221" ca="1">IF(INDIRECT("'"&amp;B221&amp;"'!E"&amp;C221)=0,"",INDIRECT("'"&amp;B221&amp;"'!E"&amp;C221))</f>
        <v/>
      </c>
      <c r="K221" s="253" t="str" cm="1">
        <f t="array" aca="1" ref="K221" ca="1">IF(INDIRECT("'"&amp;B221&amp;"'!F"&amp;C221)=0,"N/A",INDIRECT("'"&amp;B221&amp;"'!F"&amp;C221))</f>
        <v>10.3(6)</v>
      </c>
      <c r="L221" s="253" cm="1">
        <f t="array" aca="1" ref="L221" ca="1">IF(INDIRECT("'"&amp;B221&amp;"'!G"&amp;C221)=0,"N/A",INDIRECT("'"&amp;B221&amp;"'!G"&amp;C221))</f>
        <v>1</v>
      </c>
      <c r="M221" s="253" t="str" cm="1">
        <f t="array" aca="1" ref="M221" ca="1">IF(INDIRECT("'"&amp;B221&amp;"'!H"&amp;C221)=0,"N/A",INDIRECT("'"&amp;B221&amp;"'!H"&amp;C221))</f>
        <v>10.3(6) #1</v>
      </c>
      <c r="N221" s="221" t="str" cm="1">
        <f t="array" aca="1" ref="N221" ca="1">IF(INDIRECT("'"&amp;B221&amp;"'!I"&amp;C221)=0,"N/A",INDIRECT("'"&amp;B221&amp;"'!I"&amp;C221))</f>
        <v>มีมาตรการควบคุมความถูกต้องครบถ้วนของการแปลงข้อมูล (data conversion) ควรครอบคลุมกรณีที่มีการโอนย้ายข้อมูลจากระบบเดิมไปยังระบบใหม่ (data migration) เช่น การทำ storage migration, cloud migration หรือ application migration</v>
      </c>
      <c r="O221" s="533" t="str" cm="1">
        <f t="array" aca="1" ref="O221" ca="1">IF(INDIRECT("'"&amp;B221&amp;"'!N"&amp;C221)=0,"N/A",INDIRECT("'"&amp;B221&amp;"'!N"&amp;C221))</f>
        <v>Yes/Partial/No</v>
      </c>
      <c r="P221" s="527" t="str" cm="1">
        <f t="array" aca="1" ref="P221" ca="1">IF(INDIRECT("'"&amp;B221&amp;"'!L"&amp;C221)=0,"",INDIRECT("'"&amp;B221&amp;"'!L"&amp;C221))</f>
        <v/>
      </c>
      <c r="Q221" s="527" t="str">
        <f t="shared" ca="1" si="25"/>
        <v/>
      </c>
      <c r="R221" s="563" t="str">
        <f t="shared" ca="1" si="24"/>
        <v>Yes</v>
      </c>
      <c r="S221" s="528" t="s">
        <v>1609</v>
      </c>
      <c r="T221" s="529" t="str">
        <f t="shared" si="26"/>
        <v/>
      </c>
      <c r="U221" s="529" t="str">
        <f t="shared" si="27"/>
        <v/>
      </c>
      <c r="V221" s="529" t="str">
        <f t="shared" si="28"/>
        <v>X</v>
      </c>
      <c r="W221" s="529" t="str">
        <f t="shared" si="29"/>
        <v/>
      </c>
      <c r="X221" s="529" t="str">
        <f t="shared" si="30"/>
        <v/>
      </c>
      <c r="Y221" s="529" t="str">
        <f t="shared" si="31"/>
        <v>X</v>
      </c>
    </row>
    <row r="222" spans="1:25" ht="25.05" x14ac:dyDescent="0.2">
      <c r="A222" s="253" t="s">
        <v>1291</v>
      </c>
      <c r="B222" s="253" t="s">
        <v>1623</v>
      </c>
      <c r="C222" s="253">
        <v>31</v>
      </c>
      <c r="D222" s="253" t="s">
        <v>1579</v>
      </c>
      <c r="E222" s="534">
        <v>2.1</v>
      </c>
      <c r="F222" s="253" t="s">
        <v>1571</v>
      </c>
      <c r="G222" s="215" t="str" cm="1">
        <f t="array" aca="1" ref="G222" ca="1">IF(INDIRECT("'"&amp;B222&amp;"'!B"&amp;C222)=0,"",INDIRECT("'"&amp;B222&amp;"'!B"&amp;C222))</f>
        <v>x</v>
      </c>
      <c r="H222" s="215" t="str" cm="1">
        <f t="array" aca="1" ref="H222" ca="1">IF(INDIRECT("'"&amp;B222&amp;"'!C"&amp;C222)=0,"",INDIRECT("'"&amp;B222&amp;"'!C"&amp;C222))</f>
        <v>x</v>
      </c>
      <c r="I222" s="215" t="str" cm="1">
        <f t="array" aca="1" ref="I222" ca="1">IF(INDIRECT("'"&amp;B222&amp;"'!D"&amp;C222)=0,"",INDIRECT("'"&amp;B222&amp;"'!D"&amp;C222))</f>
        <v>x</v>
      </c>
      <c r="J222" s="215" t="str" cm="1">
        <f t="array" aca="1" ref="J222" ca="1">IF(INDIRECT("'"&amp;B222&amp;"'!E"&amp;C222)=0,"",INDIRECT("'"&amp;B222&amp;"'!E"&amp;C222))</f>
        <v/>
      </c>
      <c r="K222" s="253" t="str" cm="1">
        <f t="array" aca="1" ref="K222" ca="1">IF(INDIRECT("'"&amp;B222&amp;"'!F"&amp;C222)=0,"N/A",INDIRECT("'"&amp;B222&amp;"'!F"&amp;C222))</f>
        <v>10.3(7)</v>
      </c>
      <c r="L222" s="253" cm="1">
        <f t="array" aca="1" ref="L222" ca="1">IF(INDIRECT("'"&amp;B222&amp;"'!G"&amp;C222)=0,"N/A",INDIRECT("'"&amp;B222&amp;"'!G"&amp;C222))</f>
        <v>1</v>
      </c>
      <c r="M222" s="253" t="str" cm="1">
        <f t="array" aca="1" ref="M222" ca="1">IF(INDIRECT("'"&amp;B222&amp;"'!H"&amp;C222)=0,"N/A",INDIRECT("'"&amp;B222&amp;"'!H"&amp;C222))</f>
        <v>10.3(7) #1</v>
      </c>
      <c r="N222" s="221" t="str" cm="1">
        <f t="array" aca="1" ref="N222" ca="1">IF(INDIRECT("'"&amp;B222&amp;"'!I"&amp;C222)=0,"N/A",INDIRECT("'"&amp;B222&amp;"'!I"&amp;C222))</f>
        <v xml:space="preserve">มีมาตรการรักษาความปลอดภัยและความลับของข้อมูล ในกรณีที่มีการนำข้อมูลสำคัญจากระบบจริงมาใช้เพื่อทดสอบระบบ เช่น การทำ data masking เพื่อป้องกันความเสี่ยงในการรั่วไหลของข้อมูล </v>
      </c>
      <c r="O222" s="533" t="str" cm="1">
        <f t="array" aca="1" ref="O222" ca="1">IF(INDIRECT("'"&amp;B222&amp;"'!N"&amp;C222)=0,"N/A",INDIRECT("'"&amp;B222&amp;"'!N"&amp;C222))</f>
        <v>Maturity</v>
      </c>
      <c r="P222" s="527" t="str" cm="1">
        <f t="array" aca="1" ref="P222" ca="1">IF(INDIRECT("'"&amp;B222&amp;"'!L"&amp;C222)=0,"",INDIRECT("'"&amp;B222&amp;"'!L"&amp;C222))</f>
        <v/>
      </c>
      <c r="Q222" s="527" t="str">
        <f t="shared" ca="1" si="25"/>
        <v/>
      </c>
      <c r="R222" s="563" t="str">
        <f t="shared" ca="1" si="24"/>
        <v>Yes</v>
      </c>
      <c r="S222" s="528" t="s">
        <v>1608</v>
      </c>
      <c r="T222" s="529" t="str">
        <f t="shared" si="26"/>
        <v/>
      </c>
      <c r="U222" s="529" t="str">
        <f t="shared" si="27"/>
        <v/>
      </c>
      <c r="V222" s="529" t="str">
        <f t="shared" si="28"/>
        <v>X</v>
      </c>
      <c r="W222" s="529" t="str">
        <f t="shared" si="29"/>
        <v/>
      </c>
      <c r="X222" s="529" t="str">
        <f t="shared" si="30"/>
        <v/>
      </c>
      <c r="Y222" s="529" t="str">
        <f t="shared" si="31"/>
        <v/>
      </c>
    </row>
    <row r="223" spans="1:25" ht="37.6" x14ac:dyDescent="0.2">
      <c r="A223" s="253" t="s">
        <v>1301</v>
      </c>
      <c r="B223" s="253" t="s">
        <v>1623</v>
      </c>
      <c r="C223" s="253">
        <v>32</v>
      </c>
      <c r="D223" s="253" t="s">
        <v>1579</v>
      </c>
      <c r="E223" s="534">
        <v>2.1</v>
      </c>
      <c r="F223" s="253" t="s">
        <v>1571</v>
      </c>
      <c r="G223" s="215" t="str" cm="1">
        <f t="array" aca="1" ref="G223" ca="1">IF(INDIRECT("'"&amp;B223&amp;"'!B"&amp;C223)=0,"",INDIRECT("'"&amp;B223&amp;"'!B"&amp;C223))</f>
        <v>x</v>
      </c>
      <c r="H223" s="215" t="str" cm="1">
        <f t="array" aca="1" ref="H223" ca="1">IF(INDIRECT("'"&amp;B223&amp;"'!C"&amp;C223)=0,"",INDIRECT("'"&amp;B223&amp;"'!C"&amp;C223))</f>
        <v>x</v>
      </c>
      <c r="I223" s="215" t="str" cm="1">
        <f t="array" aca="1" ref="I223" ca="1">IF(INDIRECT("'"&amp;B223&amp;"'!D"&amp;C223)=0,"",INDIRECT("'"&amp;B223&amp;"'!D"&amp;C223))</f>
        <v>x</v>
      </c>
      <c r="J223" s="215" t="str" cm="1">
        <f t="array" aca="1" ref="J223" ca="1">IF(INDIRECT("'"&amp;B223&amp;"'!E"&amp;C223)=0,"",INDIRECT("'"&amp;B223&amp;"'!E"&amp;C223))</f>
        <v/>
      </c>
      <c r="K223" s="253" t="str" cm="1">
        <f t="array" aca="1" ref="K223" ca="1">IF(INDIRECT("'"&amp;B223&amp;"'!F"&amp;C223)=0,"N/A",INDIRECT("'"&amp;B223&amp;"'!F"&amp;C223))</f>
        <v>10.3(8)</v>
      </c>
      <c r="L223" s="253" t="str" cm="1">
        <f t="array" aca="1" ref="L223" ca="1">IF(INDIRECT("'"&amp;B223&amp;"'!G"&amp;C223)=0,"N/A",INDIRECT("'"&amp;B223&amp;"'!G"&amp;C223))</f>
        <v>N/A</v>
      </c>
      <c r="M223" s="253" t="str" cm="1">
        <f t="array" aca="1" ref="M223" ca="1">IF(INDIRECT("'"&amp;B223&amp;"'!H"&amp;C223)=0,"N/A",INDIRECT("'"&amp;B223&amp;"'!H"&amp;C223))</f>
        <v>10.3(8)</v>
      </c>
      <c r="N223" s="221" t="str" cm="1">
        <f t="array" aca="1" ref="N223" ca="1">IF(INDIRECT("'"&amp;B223&amp;"'!I"&amp;C223)=0,"N/A",INDIRECT("'"&amp;B223&amp;"'!I"&amp;C223))</f>
        <v>มีการทดสอบประสิทธิภาพ (performance test) ของระบบที่เกี่ยวข้องกับการให้บริการหรือการทำธุรกรรมทางอิเล็กทรอนิกส์ เมื่อมีการพัฒนาหรือเปลี่ยนแปลงระบบอย่างมีนัยสำคัญ เพื่อให้มั่นใจว่าระบบดังกล่าวสามารถรองรับปริมาณการใช้งานได้สอดคล้องกับความต้องการทางธุรกิจ</v>
      </c>
      <c r="O223" s="533" t="str" cm="1">
        <f t="array" aca="1" ref="O223" ca="1">IF(INDIRECT("'"&amp;B223&amp;"'!N"&amp;C223)=0,"N/A",INDIRECT("'"&amp;B223&amp;"'!N"&amp;C223))</f>
        <v>Yes/Partial/No</v>
      </c>
      <c r="P223" s="527" t="str" cm="1">
        <f t="array" aca="1" ref="P223" ca="1">IF(INDIRECT("'"&amp;B223&amp;"'!L"&amp;C223)=0,"",INDIRECT("'"&amp;B223&amp;"'!L"&amp;C223))</f>
        <v/>
      </c>
      <c r="Q223" s="527" t="str">
        <f t="shared" ca="1" si="25"/>
        <v/>
      </c>
      <c r="R223" s="563" t="str">
        <f t="shared" ca="1" si="24"/>
        <v>Yes</v>
      </c>
      <c r="S223" s="528" t="s">
        <v>1580</v>
      </c>
      <c r="T223" s="529" t="str">
        <f t="shared" si="26"/>
        <v/>
      </c>
      <c r="U223" s="529" t="str">
        <f t="shared" si="27"/>
        <v/>
      </c>
      <c r="V223" s="529" t="str">
        <f t="shared" si="28"/>
        <v>X</v>
      </c>
      <c r="W223" s="529" t="str">
        <f t="shared" si="29"/>
        <v/>
      </c>
      <c r="X223" s="529" t="str">
        <f t="shared" si="30"/>
        <v/>
      </c>
      <c r="Y223" s="529" t="str">
        <f t="shared" si="31"/>
        <v/>
      </c>
    </row>
    <row r="224" spans="1:25" ht="25.05" x14ac:dyDescent="0.2">
      <c r="A224" s="253" t="s">
        <v>1305</v>
      </c>
      <c r="B224" s="253" t="s">
        <v>1623</v>
      </c>
      <c r="C224" s="253">
        <v>33</v>
      </c>
      <c r="D224" s="253" t="s">
        <v>1579</v>
      </c>
      <c r="E224" s="534">
        <v>2.1</v>
      </c>
      <c r="F224" s="253" t="s">
        <v>1571</v>
      </c>
      <c r="G224" s="215" t="str" cm="1">
        <f t="array" aca="1" ref="G224" ca="1">IF(INDIRECT("'"&amp;B224&amp;"'!B"&amp;C224)=0,"",INDIRECT("'"&amp;B224&amp;"'!B"&amp;C224))</f>
        <v>x</v>
      </c>
      <c r="H224" s="215" t="str" cm="1">
        <f t="array" aca="1" ref="H224" ca="1">IF(INDIRECT("'"&amp;B224&amp;"'!C"&amp;C224)=0,"",INDIRECT("'"&amp;B224&amp;"'!C"&amp;C224))</f>
        <v>x</v>
      </c>
      <c r="I224" s="215" t="str" cm="1">
        <f t="array" aca="1" ref="I224" ca="1">IF(INDIRECT("'"&amp;B224&amp;"'!D"&amp;C224)=0,"",INDIRECT("'"&amp;B224&amp;"'!D"&amp;C224))</f>
        <v>x</v>
      </c>
      <c r="J224" s="215" t="str" cm="1">
        <f t="array" aca="1" ref="J224" ca="1">IF(INDIRECT("'"&amp;B224&amp;"'!E"&amp;C224)=0,"",INDIRECT("'"&amp;B224&amp;"'!E"&amp;C224))</f>
        <v/>
      </c>
      <c r="K224" s="253" t="str" cm="1">
        <f t="array" aca="1" ref="K224" ca="1">IF(INDIRECT("'"&amp;B224&amp;"'!F"&amp;C224)=0,"N/A",INDIRECT("'"&amp;B224&amp;"'!F"&amp;C224))</f>
        <v>10.3(9)</v>
      </c>
      <c r="L224" s="253" t="str" cm="1">
        <f t="array" aca="1" ref="L224" ca="1">IF(INDIRECT("'"&amp;B224&amp;"'!G"&amp;C224)=0,"N/A",INDIRECT("'"&amp;B224&amp;"'!G"&amp;C224))</f>
        <v>N/A</v>
      </c>
      <c r="M224" s="253" t="str" cm="1">
        <f t="array" aca="1" ref="M224" ca="1">IF(INDIRECT("'"&amp;B224&amp;"'!H"&amp;C224)=0,"N/A",INDIRECT("'"&amp;B224&amp;"'!H"&amp;C224))</f>
        <v>10.3(9)</v>
      </c>
      <c r="N224" s="221" t="str" cm="1">
        <f t="array" aca="1" ref="N224" ca="1">IF(INDIRECT("'"&amp;B224&amp;"'!I"&amp;C224)=0,"N/A",INDIRECT("'"&amp;B224&amp;"'!I"&amp;C224))</f>
        <v>มีการติดตาม และควบคุมการดำเนินการให้เป็นไปตามข้อตกลงในการมอบหมายงาน ในกรณีที่มอบหมายให้บุคคลภายนอกเป็นผู้พัฒนาหรือแก้ไขเปลี่ยนแปลงระบบ IT</v>
      </c>
      <c r="O224" s="533" t="str" cm="1">
        <f t="array" aca="1" ref="O224" ca="1">IF(INDIRECT("'"&amp;B224&amp;"'!N"&amp;C224)=0,"N/A",INDIRECT("'"&amp;B224&amp;"'!N"&amp;C224))</f>
        <v>Yes/Partial/No</v>
      </c>
      <c r="P224" s="527" t="str" cm="1">
        <f t="array" aca="1" ref="P224" ca="1">IF(INDIRECT("'"&amp;B224&amp;"'!L"&amp;C224)=0,"",INDIRECT("'"&amp;B224&amp;"'!L"&amp;C224))</f>
        <v/>
      </c>
      <c r="Q224" s="527" t="str">
        <f t="shared" ca="1" si="25"/>
        <v/>
      </c>
      <c r="R224" s="563" t="str">
        <f t="shared" ca="1" si="24"/>
        <v>Yes</v>
      </c>
      <c r="S224" s="528" t="s">
        <v>1572</v>
      </c>
      <c r="T224" s="529" t="str">
        <f t="shared" si="26"/>
        <v>X</v>
      </c>
      <c r="U224" s="529" t="str">
        <f t="shared" si="27"/>
        <v/>
      </c>
      <c r="V224" s="529" t="str">
        <f t="shared" si="28"/>
        <v/>
      </c>
      <c r="W224" s="529" t="str">
        <f t="shared" si="29"/>
        <v/>
      </c>
      <c r="X224" s="529" t="str">
        <f t="shared" si="30"/>
        <v/>
      </c>
      <c r="Y224" s="529" t="str">
        <f t="shared" si="31"/>
        <v/>
      </c>
    </row>
    <row r="225" spans="1:25" ht="25.05" x14ac:dyDescent="0.2">
      <c r="A225" s="253" t="s">
        <v>1309</v>
      </c>
      <c r="B225" s="253" t="s">
        <v>1623</v>
      </c>
      <c r="C225" s="253">
        <v>34</v>
      </c>
      <c r="D225" s="253" t="s">
        <v>1579</v>
      </c>
      <c r="E225" s="534">
        <v>2.1</v>
      </c>
      <c r="F225" s="253" t="s">
        <v>1571</v>
      </c>
      <c r="G225" s="215" t="str" cm="1">
        <f t="array" aca="1" ref="G225" ca="1">IF(INDIRECT("'"&amp;B225&amp;"'!B"&amp;C225)=0,"",INDIRECT("'"&amp;B225&amp;"'!B"&amp;C225))</f>
        <v>x</v>
      </c>
      <c r="H225" s="215" t="str" cm="1">
        <f t="array" aca="1" ref="H225" ca="1">IF(INDIRECT("'"&amp;B225&amp;"'!C"&amp;C225)=0,"",INDIRECT("'"&amp;B225&amp;"'!C"&amp;C225))</f>
        <v>x</v>
      </c>
      <c r="I225" s="215" t="str" cm="1">
        <f t="array" aca="1" ref="I225" ca="1">IF(INDIRECT("'"&amp;B225&amp;"'!D"&amp;C225)=0,"",INDIRECT("'"&amp;B225&amp;"'!D"&amp;C225))</f>
        <v>x</v>
      </c>
      <c r="J225" s="215" t="str" cm="1">
        <f t="array" aca="1" ref="J225" ca="1">IF(INDIRECT("'"&amp;B225&amp;"'!E"&amp;C225)=0,"",INDIRECT("'"&amp;B225&amp;"'!E"&amp;C225))</f>
        <v/>
      </c>
      <c r="K225" s="253" t="str" cm="1">
        <f t="array" aca="1" ref="K225" ca="1">IF(INDIRECT("'"&amp;B225&amp;"'!F"&amp;C225)=0,"N/A",INDIRECT("'"&amp;B225&amp;"'!F"&amp;C225))</f>
        <v>10.3(10)</v>
      </c>
      <c r="L225" s="253" cm="1">
        <f t="array" aca="1" ref="L225" ca="1">IF(INDIRECT("'"&amp;B225&amp;"'!G"&amp;C225)=0,"N/A",INDIRECT("'"&amp;B225&amp;"'!G"&amp;C225))</f>
        <v>1</v>
      </c>
      <c r="M225" s="253" t="str" cm="1">
        <f t="array" aca="1" ref="M225" ca="1">IF(INDIRECT("'"&amp;B225&amp;"'!H"&amp;C225)=0,"N/A",INDIRECT("'"&amp;B225&amp;"'!H"&amp;C225))</f>
        <v>10.3(10) #1</v>
      </c>
      <c r="N225" s="221" t="str" cm="1">
        <f t="array" aca="1" ref="N225" ca="1">IF(INDIRECT("'"&amp;B225&amp;"'!I"&amp;C225)=0,"N/A",INDIRECT("'"&amp;B225&amp;"'!I"&amp;C225))</f>
        <v>มีการขออนุมัติจากผู้บริหารหรือคณะกรรมการที่ได้รับมอบหมายจากผู้ประกอบธุรกิจ ตามกระบวนการบริหารจัดการการเปลี่ยนแปลงที่กำหนดไว้ ก่อนนำระบบขึ้นใช้งานจริง</v>
      </c>
      <c r="O225" s="533" t="str" cm="1">
        <f t="array" aca="1" ref="O225" ca="1">IF(INDIRECT("'"&amp;B225&amp;"'!N"&amp;C225)=0,"N/A",INDIRECT("'"&amp;B225&amp;"'!N"&amp;C225))</f>
        <v>Yes/Partial/No</v>
      </c>
      <c r="P225" s="527" t="str" cm="1">
        <f t="array" aca="1" ref="P225" ca="1">IF(INDIRECT("'"&amp;B225&amp;"'!L"&amp;C225)=0,"",INDIRECT("'"&amp;B225&amp;"'!L"&amp;C225))</f>
        <v/>
      </c>
      <c r="Q225" s="527" t="str">
        <f t="shared" ca="1" si="25"/>
        <v/>
      </c>
      <c r="R225" s="563" t="str">
        <f t="shared" ca="1" si="24"/>
        <v>Yes</v>
      </c>
      <c r="S225" s="528" t="s">
        <v>1628</v>
      </c>
      <c r="T225" s="529" t="str">
        <f t="shared" si="26"/>
        <v>X</v>
      </c>
      <c r="U225" s="529" t="str">
        <f t="shared" si="27"/>
        <v/>
      </c>
      <c r="V225" s="529" t="str">
        <f t="shared" si="28"/>
        <v>X</v>
      </c>
      <c r="W225" s="529" t="str">
        <f t="shared" si="29"/>
        <v/>
      </c>
      <c r="X225" s="529" t="str">
        <f t="shared" si="30"/>
        <v/>
      </c>
      <c r="Y225" s="529" t="str">
        <f t="shared" si="31"/>
        <v/>
      </c>
    </row>
    <row r="226" spans="1:25" ht="25.05" x14ac:dyDescent="0.2">
      <c r="A226" s="253" t="s">
        <v>1314</v>
      </c>
      <c r="B226" s="253" t="s">
        <v>1623</v>
      </c>
      <c r="C226" s="253">
        <v>35</v>
      </c>
      <c r="D226" s="253" t="s">
        <v>1579</v>
      </c>
      <c r="E226" s="534">
        <v>2.1</v>
      </c>
      <c r="F226" s="253" t="s">
        <v>1571</v>
      </c>
      <c r="G226" s="215" t="str" cm="1">
        <f t="array" aca="1" ref="G226" ca="1">IF(INDIRECT("'"&amp;B226&amp;"'!B"&amp;C226)=0,"",INDIRECT("'"&amp;B226&amp;"'!B"&amp;C226))</f>
        <v>x</v>
      </c>
      <c r="H226" s="215" t="str" cm="1">
        <f t="array" aca="1" ref="H226" ca="1">IF(INDIRECT("'"&amp;B226&amp;"'!C"&amp;C226)=0,"",INDIRECT("'"&amp;B226&amp;"'!C"&amp;C226))</f>
        <v>x</v>
      </c>
      <c r="I226" s="215" t="str" cm="1">
        <f t="array" aca="1" ref="I226" ca="1">IF(INDIRECT("'"&amp;B226&amp;"'!D"&amp;C226)=0,"",INDIRECT("'"&amp;B226&amp;"'!D"&amp;C226))</f>
        <v>x</v>
      </c>
      <c r="J226" s="215" t="str" cm="1">
        <f t="array" aca="1" ref="J226" ca="1">IF(INDIRECT("'"&amp;B226&amp;"'!E"&amp;C226)=0,"",INDIRECT("'"&amp;B226&amp;"'!E"&amp;C226))</f>
        <v/>
      </c>
      <c r="K226" s="253" t="str" cm="1">
        <f t="array" aca="1" ref="K226" ca="1">IF(INDIRECT("'"&amp;B226&amp;"'!F"&amp;C226)=0,"N/A",INDIRECT("'"&amp;B226&amp;"'!F"&amp;C226))</f>
        <v>10.3(10)</v>
      </c>
      <c r="L226" s="253" cm="1">
        <f t="array" aca="1" ref="L226" ca="1">IF(INDIRECT("'"&amp;B226&amp;"'!G"&amp;C226)=0,"N/A",INDIRECT("'"&amp;B226&amp;"'!G"&amp;C226))</f>
        <v>2</v>
      </c>
      <c r="M226" s="253" t="str" cm="1">
        <f t="array" aca="1" ref="M226" ca="1">IF(INDIRECT("'"&amp;B226&amp;"'!H"&amp;C226)=0,"N/A",INDIRECT("'"&amp;B226&amp;"'!H"&amp;C226))</f>
        <v>10.3(10) #2</v>
      </c>
      <c r="N226" s="221" t="str" cm="1">
        <f t="array" aca="1" ref="N226" ca="1">IF(INDIRECT("'"&amp;B226&amp;"'!I"&amp;C226)=0,"N/A",INDIRECT("'"&amp;B226&amp;"'!I"&amp;C226))</f>
        <v>มีการเตรียมความพร้อมในการนำระบบขึ้นใช้งานจริง โดยจัดเก็บระบบเวอร์ชันก่อนการเปลี่ยนแปลงให้พร้อมนำกลับมาใช้งานได้</v>
      </c>
      <c r="O226" s="533" t="str" cm="1">
        <f t="array" aca="1" ref="O226" ca="1">IF(INDIRECT("'"&amp;B226&amp;"'!N"&amp;C226)=0,"N/A",INDIRECT("'"&amp;B226&amp;"'!N"&amp;C226))</f>
        <v>Yes/Partial/No</v>
      </c>
      <c r="P226" s="527" t="str" cm="1">
        <f t="array" aca="1" ref="P226" ca="1">IF(INDIRECT("'"&amp;B226&amp;"'!L"&amp;C226)=0,"",INDIRECT("'"&amp;B226&amp;"'!L"&amp;C226))</f>
        <v/>
      </c>
      <c r="Q226" s="527" t="str">
        <f t="shared" ca="1" si="25"/>
        <v/>
      </c>
      <c r="R226" s="563" t="str">
        <f t="shared" ca="1" si="24"/>
        <v>Yes</v>
      </c>
      <c r="S226" s="528" t="s">
        <v>1580</v>
      </c>
      <c r="T226" s="529" t="str">
        <f t="shared" si="26"/>
        <v/>
      </c>
      <c r="U226" s="529" t="str">
        <f t="shared" si="27"/>
        <v/>
      </c>
      <c r="V226" s="529" t="str">
        <f t="shared" si="28"/>
        <v>X</v>
      </c>
      <c r="W226" s="529" t="str">
        <f t="shared" si="29"/>
        <v/>
      </c>
      <c r="X226" s="529" t="str">
        <f t="shared" si="30"/>
        <v/>
      </c>
      <c r="Y226" s="529" t="str">
        <f t="shared" si="31"/>
        <v/>
      </c>
    </row>
    <row r="227" spans="1:25" ht="37.6" x14ac:dyDescent="0.2">
      <c r="A227" s="253" t="s">
        <v>1318</v>
      </c>
      <c r="B227" s="253" t="s">
        <v>1623</v>
      </c>
      <c r="C227" s="253">
        <v>36</v>
      </c>
      <c r="D227" s="253" t="s">
        <v>1579</v>
      </c>
      <c r="E227" s="534">
        <v>2.1</v>
      </c>
      <c r="F227" s="253" t="s">
        <v>1571</v>
      </c>
      <c r="G227" s="215" t="str" cm="1">
        <f t="array" aca="1" ref="G227" ca="1">IF(INDIRECT("'"&amp;B227&amp;"'!B"&amp;C227)=0,"",INDIRECT("'"&amp;B227&amp;"'!B"&amp;C227))</f>
        <v>x</v>
      </c>
      <c r="H227" s="215" t="str" cm="1">
        <f t="array" aca="1" ref="H227" ca="1">IF(INDIRECT("'"&amp;B227&amp;"'!C"&amp;C227)=0,"",INDIRECT("'"&amp;B227&amp;"'!C"&amp;C227))</f>
        <v>x</v>
      </c>
      <c r="I227" s="215" t="str" cm="1">
        <f t="array" aca="1" ref="I227" ca="1">IF(INDIRECT("'"&amp;B227&amp;"'!D"&amp;C227)=0,"",INDIRECT("'"&amp;B227&amp;"'!D"&amp;C227))</f>
        <v>x</v>
      </c>
      <c r="J227" s="215" t="str" cm="1">
        <f t="array" aca="1" ref="J227" ca="1">IF(INDIRECT("'"&amp;B227&amp;"'!E"&amp;C227)=0,"",INDIRECT("'"&amp;B227&amp;"'!E"&amp;C227))</f>
        <v/>
      </c>
      <c r="K227" s="253" t="str" cm="1">
        <f t="array" aca="1" ref="K227" ca="1">IF(INDIRECT("'"&amp;B227&amp;"'!F"&amp;C227)=0,"N/A",INDIRECT("'"&amp;B227&amp;"'!F"&amp;C227))</f>
        <v>10.3(10)</v>
      </c>
      <c r="L227" s="253" cm="1">
        <f t="array" aca="1" ref="L227" ca="1">IF(INDIRECT("'"&amp;B227&amp;"'!G"&amp;C227)=0,"N/A",INDIRECT("'"&amp;B227&amp;"'!G"&amp;C227))</f>
        <v>3</v>
      </c>
      <c r="M227" s="253" t="str" cm="1">
        <f t="array" aca="1" ref="M227" ca="1">IF(INDIRECT("'"&amp;B227&amp;"'!H"&amp;C227)=0,"N/A",INDIRECT("'"&amp;B227&amp;"'!H"&amp;C227))</f>
        <v>10.3(10) #3</v>
      </c>
      <c r="N227" s="221" t="str" cm="1">
        <f t="array" aca="1" ref="N227" ca="1">IF(INDIRECT("'"&amp;B227&amp;"'!I"&amp;C227)=0,"N/A",INDIRECT("'"&amp;B227&amp;"'!I"&amp;C227))</f>
        <v>มีการกำหนดแผนหรือเงื่อนไขการนำระบบใหม่เข้าไปทดแทน (cutover หรือ go-live technique) ที่เหมาะสมกับระดับความเสี่ยง เช่น การเปลี่ยนแปลงไปยังระบบใหม่ทันที (direct changeover) การเปลี่ยนแปลงระบบโดยการใช้งานคู่ขนาน (parallel changeover) หรือ การเปลี่ยนแปลงระบบทีละเฟส (phased changeover) เป็นต้น</v>
      </c>
      <c r="O227" s="533" t="str" cm="1">
        <f t="array" aca="1" ref="O227" ca="1">IF(INDIRECT("'"&amp;B227&amp;"'!N"&amp;C227)=0,"N/A",INDIRECT("'"&amp;B227&amp;"'!N"&amp;C227))</f>
        <v>Yes/Partial/No</v>
      </c>
      <c r="P227" s="527" t="str" cm="1">
        <f t="array" aca="1" ref="P227" ca="1">IF(INDIRECT("'"&amp;B227&amp;"'!L"&amp;C227)=0,"",INDIRECT("'"&amp;B227&amp;"'!L"&amp;C227))</f>
        <v/>
      </c>
      <c r="Q227" s="527" t="str">
        <f t="shared" ca="1" si="25"/>
        <v/>
      </c>
      <c r="R227" s="563" t="str">
        <f t="shared" ca="1" si="24"/>
        <v>Yes</v>
      </c>
      <c r="S227" s="528" t="s">
        <v>1580</v>
      </c>
      <c r="T227" s="529" t="str">
        <f t="shared" si="26"/>
        <v/>
      </c>
      <c r="U227" s="529" t="str">
        <f t="shared" si="27"/>
        <v/>
      </c>
      <c r="V227" s="529" t="str">
        <f t="shared" si="28"/>
        <v>X</v>
      </c>
      <c r="W227" s="529" t="str">
        <f t="shared" si="29"/>
        <v/>
      </c>
      <c r="X227" s="529" t="str">
        <f t="shared" si="30"/>
        <v/>
      </c>
      <c r="Y227" s="529" t="str">
        <f t="shared" si="31"/>
        <v/>
      </c>
    </row>
    <row r="228" spans="1:25" ht="25.05" x14ac:dyDescent="0.2">
      <c r="A228" s="253" t="s">
        <v>1323</v>
      </c>
      <c r="B228" s="253" t="s">
        <v>1623</v>
      </c>
      <c r="C228" s="253">
        <v>38</v>
      </c>
      <c r="D228" s="253" t="s">
        <v>1579</v>
      </c>
      <c r="E228" s="534">
        <v>2.1</v>
      </c>
      <c r="F228" s="253" t="s">
        <v>1571</v>
      </c>
      <c r="G228" s="215" t="str" cm="1">
        <f t="array" aca="1" ref="G228" ca="1">IF(INDIRECT("'"&amp;B228&amp;"'!B"&amp;C228)=0,"",INDIRECT("'"&amp;B228&amp;"'!B"&amp;C228))</f>
        <v>x</v>
      </c>
      <c r="H228" s="215" t="str" cm="1">
        <f t="array" aca="1" ref="H228" ca="1">IF(INDIRECT("'"&amp;B228&amp;"'!C"&amp;C228)=0,"",INDIRECT("'"&amp;B228&amp;"'!C"&amp;C228))</f>
        <v>x</v>
      </c>
      <c r="I228" s="215" t="str" cm="1">
        <f t="array" aca="1" ref="I228" ca="1">IF(INDIRECT("'"&amp;B228&amp;"'!D"&amp;C228)=0,"",INDIRECT("'"&amp;B228&amp;"'!D"&amp;C228))</f>
        <v>x</v>
      </c>
      <c r="J228" s="215" t="str" cm="1">
        <f t="array" aca="1" ref="J228" ca="1">IF(INDIRECT("'"&amp;B228&amp;"'!E"&amp;C228)=0,"",INDIRECT("'"&amp;B228&amp;"'!E"&amp;C228))</f>
        <v/>
      </c>
      <c r="K228" s="253" cm="1">
        <f t="array" aca="1" ref="K228" ca="1">IF(INDIRECT("'"&amp;B228&amp;"'!F"&amp;C228)=0,"N/A",INDIRECT("'"&amp;B228&amp;"'!F"&amp;C228))</f>
        <v>10.4</v>
      </c>
      <c r="L228" s="253" cm="1">
        <f t="array" aca="1" ref="L228" ca="1">IF(INDIRECT("'"&amp;B228&amp;"'!G"&amp;C228)=0,"N/A",INDIRECT("'"&amp;B228&amp;"'!G"&amp;C228))</f>
        <v>1</v>
      </c>
      <c r="M228" s="253" t="str" cm="1">
        <f t="array" aca="1" ref="M228" ca="1">IF(INDIRECT("'"&amp;B228&amp;"'!H"&amp;C228)=0,"N/A",INDIRECT("'"&amp;B228&amp;"'!H"&amp;C228))</f>
        <v>10.4 #1</v>
      </c>
      <c r="N228" s="221" t="str" cm="1">
        <f t="array" aca="1" ref="N228" ca="1">IF(INDIRECT("'"&amp;B228&amp;"'!I"&amp;C228)=0,"N/A",INDIRECT("'"&amp;B228&amp;"'!I"&amp;C228))</f>
        <v xml:space="preserve">มีการกำหนดแนวปฏิบัติเรื่องการบริหารจัดการการเปลี่ยนแปลง (change management) หรือแนวปฏิบัติเรื่องการพัฒนาระบบ เพื่อใช้เป็นแนวทางในการดำเนินการแก้ไขเปลี่ยนแปลงระบบ IT (system change) </v>
      </c>
      <c r="O228" s="533" t="str" cm="1">
        <f t="array" aca="1" ref="O228" ca="1">IF(INDIRECT("'"&amp;B228&amp;"'!N"&amp;C228)=0,"N/A",INDIRECT("'"&amp;B228&amp;"'!N"&amp;C228))</f>
        <v>Yes/Partial/No</v>
      </c>
      <c r="P228" s="527" t="str" cm="1">
        <f t="array" aca="1" ref="P228" ca="1">IF(INDIRECT("'"&amp;B228&amp;"'!L"&amp;C228)=0,"",INDIRECT("'"&amp;B228&amp;"'!L"&amp;C228))</f>
        <v/>
      </c>
      <c r="Q228" s="527" t="str">
        <f t="shared" ca="1" si="25"/>
        <v/>
      </c>
      <c r="R228" s="563" t="str">
        <f t="shared" ca="1" si="24"/>
        <v>Yes</v>
      </c>
      <c r="S228" s="528" t="s">
        <v>1572</v>
      </c>
      <c r="T228" s="529" t="str">
        <f t="shared" si="26"/>
        <v>X</v>
      </c>
      <c r="U228" s="529" t="str">
        <f t="shared" si="27"/>
        <v/>
      </c>
      <c r="V228" s="529" t="str">
        <f t="shared" si="28"/>
        <v/>
      </c>
      <c r="W228" s="529" t="str">
        <f t="shared" si="29"/>
        <v/>
      </c>
      <c r="X228" s="529" t="str">
        <f t="shared" si="30"/>
        <v/>
      </c>
      <c r="Y228" s="529" t="str">
        <f t="shared" si="31"/>
        <v/>
      </c>
    </row>
    <row r="229" spans="1:25" ht="187.85" x14ac:dyDescent="0.2">
      <c r="A229" s="253" t="s">
        <v>1327</v>
      </c>
      <c r="B229" s="253" t="s">
        <v>1623</v>
      </c>
      <c r="C229" s="253">
        <v>39</v>
      </c>
      <c r="D229" s="253" t="s">
        <v>1579</v>
      </c>
      <c r="E229" s="534">
        <v>2.1</v>
      </c>
      <c r="F229" s="253" t="s">
        <v>1571</v>
      </c>
      <c r="G229" s="215" t="str" cm="1">
        <f t="array" aca="1" ref="G229" ca="1">IF(INDIRECT("'"&amp;B229&amp;"'!B"&amp;C229)=0,"",INDIRECT("'"&amp;B229&amp;"'!B"&amp;C229))</f>
        <v>x</v>
      </c>
      <c r="H229" s="215" t="str" cm="1">
        <f t="array" aca="1" ref="H229" ca="1">IF(INDIRECT("'"&amp;B229&amp;"'!C"&amp;C229)=0,"",INDIRECT("'"&amp;B229&amp;"'!C"&amp;C229))</f>
        <v>x</v>
      </c>
      <c r="I229" s="215" t="str" cm="1">
        <f t="array" aca="1" ref="I229" ca="1">IF(INDIRECT("'"&amp;B229&amp;"'!D"&amp;C229)=0,"",INDIRECT("'"&amp;B229&amp;"'!D"&amp;C229))</f>
        <v>x</v>
      </c>
      <c r="J229" s="215" t="str" cm="1">
        <f t="array" aca="1" ref="J229" ca="1">IF(INDIRECT("'"&amp;B229&amp;"'!E"&amp;C229)=0,"",INDIRECT("'"&amp;B229&amp;"'!E"&amp;C229))</f>
        <v/>
      </c>
      <c r="K229" s="253" t="str" cm="1">
        <f t="array" aca="1" ref="K229" ca="1">IF(INDIRECT("'"&amp;B229&amp;"'!F"&amp;C229)=0,"N/A",INDIRECT("'"&amp;B229&amp;"'!F"&amp;C229))</f>
        <v>10.4(1)-(6)</v>
      </c>
      <c r="L229" s="253" t="str" cm="1">
        <f t="array" aca="1" ref="L229" ca="1">IF(INDIRECT("'"&amp;B229&amp;"'!G"&amp;C229)=0,"N/A",INDIRECT("'"&amp;B229&amp;"'!G"&amp;C229))</f>
        <v>N/A</v>
      </c>
      <c r="M229" s="253" t="str" cm="1">
        <f t="array" aca="1" ref="M229" ca="1">IF(INDIRECT("'"&amp;B229&amp;"'!H"&amp;C229)=0,"N/A",INDIRECT("'"&amp;B229&amp;"'!H"&amp;C229))</f>
        <v>10.4(1)-(6)</v>
      </c>
      <c r="N229" s="221" t="str" cm="1">
        <f t="array" aca="1" ref="N229" ca="1">IF(INDIRECT("'"&amp;B229&amp;"'!I"&amp;C229)=0,"N/A",INDIRECT("'"&amp;B229&amp;"'!I"&amp;C229))</f>
        <v xml:space="preserve">มีการแก้ไขเปลี่ยนแปลงระบบ IT (system change) ตามแนวปฏิบัติเรื่องการบริหารจัดการการเปลี่ยนแปลง (change management) และแนวปฏิบัติเรื่องการพัฒนาระบบ ซึ่งประกอบด้วย
    (1) มีการประเมินผลกระทบ และจัดลำดับความสำคัญของการเปลี่ยนแปลง
    (2) มีกระบวนการขออนุมัติการเปลี่ยนแปลง (change request) โดยต้องได้รับการอนุมัติจากหน่วยงานเจ้าของระบบ (system owner) เป็นลายลักษณ์อักษร เพื่อให้มั่นใจได้ว่าการเปลี่ยนแปลงได้รับการพิจารณาความจำเป็นอย่างเหมาะสมแล้ว
    (3) มีการทดสอบระบบก่อนนำไปตั้งค่า หรือนำไปติดตั้งบนระบบที่ให้บริการจริง เพื่อลดความเสี่ยงและผลกระทบที่อาจเกิดขึ้น
    (4) มีกระบวนการขออนุมัติจากผู้บริหารหรือคณะกรรมการที่ได้รับมอบหมายจากผู้ประกอบธุรกิจก่อนนำระบบขึ้นใช้งานจริง
    (5) มีกระบวนการหรือเครื่องมือควบคุมการเปลี่ยนแปลงรุ่น (version) ของชุดคำสั่งคอมพิวเตอร์ (source code version control) และรองรับการถอยกลับสู่สภาพเดิม 
    (6) ปรับปรุงรายละเอียดประกอบระบบงานที่ได้มีการแก้ไขเปลี่ยนแปลง ซึ่งครอบคลุมขั้นตอนการปฏิบัติงาน ระบบงานสำรอง และแผนบริหารความต่อเนื่องทางธุรกิจ (business continuity plan) เพื่อให้เป็นปัจจุบัน และสื่อสารการเปลี่ยนแปลงให้บุคคลที่เกี่ยวข้องได้รับทราบเพื่อให้สามารถปฏิบัติงานได้อย่างถูกต้อง </v>
      </c>
      <c r="O229" s="533" t="str" cm="1">
        <f t="array" aca="1" ref="O229" ca="1">IF(INDIRECT("'"&amp;B229&amp;"'!N"&amp;C229)=0,"N/A",INDIRECT("'"&amp;B229&amp;"'!N"&amp;C229))</f>
        <v>Yes/Partial/No</v>
      </c>
      <c r="P229" s="527" t="str" cm="1">
        <f t="array" aca="1" ref="P229" ca="1">IF(INDIRECT("'"&amp;B229&amp;"'!L"&amp;C229)=0,"",INDIRECT("'"&amp;B229&amp;"'!L"&amp;C229))</f>
        <v/>
      </c>
      <c r="Q229" s="527" t="str">
        <f t="shared" ca="1" si="25"/>
        <v/>
      </c>
      <c r="R229" s="563" t="str">
        <f t="shared" ca="1" si="24"/>
        <v>Yes</v>
      </c>
      <c r="S229" s="528" t="s">
        <v>1629</v>
      </c>
      <c r="T229" s="529" t="str">
        <f t="shared" si="26"/>
        <v/>
      </c>
      <c r="U229" s="529" t="str">
        <f t="shared" si="27"/>
        <v>X</v>
      </c>
      <c r="V229" s="529" t="str">
        <f t="shared" si="28"/>
        <v>X</v>
      </c>
      <c r="W229" s="529" t="str">
        <f t="shared" si="29"/>
        <v/>
      </c>
      <c r="X229" s="529" t="str">
        <f t="shared" si="30"/>
        <v/>
      </c>
      <c r="Y229" s="529" t="str">
        <f t="shared" si="31"/>
        <v/>
      </c>
    </row>
    <row r="230" spans="1:25" ht="25.05" x14ac:dyDescent="0.2">
      <c r="A230" s="253" t="s">
        <v>1332</v>
      </c>
      <c r="B230" s="253" t="s">
        <v>1630</v>
      </c>
      <c r="C230" s="253">
        <v>4</v>
      </c>
      <c r="D230" s="253" t="s">
        <v>1579</v>
      </c>
      <c r="E230" s="534">
        <v>2.11</v>
      </c>
      <c r="F230" s="253" t="s">
        <v>1571</v>
      </c>
      <c r="G230" s="215" t="str" cm="1">
        <f t="array" aca="1" ref="G230" ca="1">IF(INDIRECT("'"&amp;B230&amp;"'!B"&amp;C230)=0,"",INDIRECT("'"&amp;B230&amp;"'!B"&amp;C230))</f>
        <v>x</v>
      </c>
      <c r="H230" s="215" t="str" cm="1">
        <f t="array" aca="1" ref="H230" ca="1">IF(INDIRECT("'"&amp;B230&amp;"'!C"&amp;C230)=0,"",INDIRECT("'"&amp;B230&amp;"'!C"&amp;C230))</f>
        <v>x</v>
      </c>
      <c r="I230" s="215" t="str" cm="1">
        <f t="array" aca="1" ref="I230" ca="1">IF(INDIRECT("'"&amp;B230&amp;"'!D"&amp;C230)=0,"",INDIRECT("'"&amp;B230&amp;"'!D"&amp;C230))</f>
        <v>x</v>
      </c>
      <c r="J230" s="215" t="str" cm="1">
        <f t="array" aca="1" ref="J230" ca="1">IF(INDIRECT("'"&amp;B230&amp;"'!E"&amp;C230)=0,"",INDIRECT("'"&amp;B230&amp;"'!E"&amp;C230))</f>
        <v/>
      </c>
      <c r="K230" s="253" cm="1">
        <f t="array" aca="1" ref="K230" ca="1">IF(INDIRECT("'"&amp;B230&amp;"'!F"&amp;C230)=0,"N/A",INDIRECT("'"&amp;B230&amp;"'!F"&amp;C230))</f>
        <v>11.1</v>
      </c>
      <c r="L230" s="253" cm="1">
        <f t="array" aca="1" ref="L230" ca="1">IF(INDIRECT("'"&amp;B230&amp;"'!G"&amp;C230)=0,"N/A",INDIRECT("'"&amp;B230&amp;"'!G"&amp;C230))</f>
        <v>1</v>
      </c>
      <c r="M230" s="253" t="str" cm="1">
        <f t="array" aca="1" ref="M230" ca="1">IF(INDIRECT("'"&amp;B230&amp;"'!H"&amp;C230)=0,"N/A",INDIRECT("'"&amp;B230&amp;"'!H"&amp;C230))</f>
        <v>11.1 #1</v>
      </c>
      <c r="N230" s="221" t="str" cm="1">
        <f t="array" aca="1" ref="N230" ca="1">IF(INDIRECT("'"&amp;B230&amp;"'!I"&amp;C230)=0,"N/A",INDIRECT("'"&amp;B230&amp;"'!I"&amp;C230))</f>
        <v>มีการกำหนดหน่วยงานหรือบุคลากรที่มีหน้าที่รับแจ้งเหตุการณ์ (point of contact) โดยทำหน้าที่ในการบันทึกข้อมูล แก้ไขในเบื้องต้น หรือส่งต่อเหตุการณ์ผิดปกติไปยังหน่วยงานด้าน IT ที่เกี่ยวข้อง</v>
      </c>
      <c r="O230" s="533" t="str" cm="1">
        <f t="array" aca="1" ref="O230" ca="1">IF(INDIRECT("'"&amp;B230&amp;"'!N"&amp;C230)=0,"N/A",INDIRECT("'"&amp;B230&amp;"'!N"&amp;C230))</f>
        <v>Yes/Partial/No</v>
      </c>
      <c r="P230" s="527" t="str" cm="1">
        <f t="array" aca="1" ref="P230" ca="1">IF(INDIRECT("'"&amp;B230&amp;"'!L"&amp;C230)=0,"",INDIRECT("'"&amp;B230&amp;"'!L"&amp;C230))</f>
        <v/>
      </c>
      <c r="Q230" s="527" t="str">
        <f t="shared" ca="1" si="25"/>
        <v/>
      </c>
      <c r="R230" s="563" t="str">
        <f t="shared" ca="1" si="24"/>
        <v>Yes</v>
      </c>
      <c r="S230" s="528" t="s">
        <v>1572</v>
      </c>
      <c r="T230" s="529" t="str">
        <f t="shared" si="26"/>
        <v>X</v>
      </c>
      <c r="U230" s="529" t="str">
        <f t="shared" si="27"/>
        <v/>
      </c>
      <c r="V230" s="529" t="str">
        <f t="shared" si="28"/>
        <v/>
      </c>
      <c r="W230" s="529" t="str">
        <f t="shared" si="29"/>
        <v/>
      </c>
      <c r="X230" s="529" t="str">
        <f t="shared" si="30"/>
        <v/>
      </c>
      <c r="Y230" s="529" t="str">
        <f t="shared" si="31"/>
        <v/>
      </c>
    </row>
    <row r="231" spans="1:25" ht="25.05" x14ac:dyDescent="0.2">
      <c r="A231" s="253" t="s">
        <v>1336</v>
      </c>
      <c r="B231" s="253" t="s">
        <v>1630</v>
      </c>
      <c r="C231" s="253">
        <v>5</v>
      </c>
      <c r="D231" s="253" t="s">
        <v>1579</v>
      </c>
      <c r="E231" s="534">
        <v>2.11</v>
      </c>
      <c r="F231" s="253" t="s">
        <v>1571</v>
      </c>
      <c r="G231" s="215" t="str" cm="1">
        <f t="array" aca="1" ref="G231" ca="1">IF(INDIRECT("'"&amp;B231&amp;"'!B"&amp;C231)=0,"",INDIRECT("'"&amp;B231&amp;"'!B"&amp;C231))</f>
        <v>x</v>
      </c>
      <c r="H231" s="215" t="str" cm="1">
        <f t="array" aca="1" ref="H231" ca="1">IF(INDIRECT("'"&amp;B231&amp;"'!C"&amp;C231)=0,"",INDIRECT("'"&amp;B231&amp;"'!C"&amp;C231))</f>
        <v>x</v>
      </c>
      <c r="I231" s="215" t="str" cm="1">
        <f t="array" aca="1" ref="I231" ca="1">IF(INDIRECT("'"&amp;B231&amp;"'!D"&amp;C231)=0,"",INDIRECT("'"&amp;B231&amp;"'!D"&amp;C231))</f>
        <v>x</v>
      </c>
      <c r="J231" s="215" t="str" cm="1">
        <f t="array" aca="1" ref="J231" ca="1">IF(INDIRECT("'"&amp;B231&amp;"'!E"&amp;C231)=0,"",INDIRECT("'"&amp;B231&amp;"'!E"&amp;C231))</f>
        <v/>
      </c>
      <c r="K231" s="253" cm="1">
        <f t="array" aca="1" ref="K231" ca="1">IF(INDIRECT("'"&amp;B231&amp;"'!F"&amp;C231)=0,"N/A",INDIRECT("'"&amp;B231&amp;"'!F"&amp;C231))</f>
        <v>11.2</v>
      </c>
      <c r="L231" s="253" t="str" cm="1">
        <f t="array" aca="1" ref="L231" ca="1">IF(INDIRECT("'"&amp;B231&amp;"'!G"&amp;C231)=0,"N/A",INDIRECT("'"&amp;B231&amp;"'!G"&amp;C231))</f>
        <v>1</v>
      </c>
      <c r="M231" s="253" t="str" cm="1">
        <f t="array" aca="1" ref="M231" ca="1">IF(INDIRECT("'"&amp;B231&amp;"'!H"&amp;C231)=0,"N/A",INDIRECT("'"&amp;B231&amp;"'!H"&amp;C231))</f>
        <v>11.2 #1</v>
      </c>
      <c r="N231" s="221" t="str" cm="1">
        <f t="array" aca="1" ref="N231" ca="1">IF(INDIRECT("'"&amp;B231&amp;"'!I"&amp;C231)=0,"N/A",INDIRECT("'"&amp;B231&amp;"'!I"&amp;C231))</f>
        <v xml:space="preserve">มีการจัดทำแผนการบริหารจัดการ หรือแผนการรับมือกับเหตุการณ์ผิดปกติ (incident response plan) ตามความสำคัญของเหตุการณ์  เพื่อให้สามารถรับมือและตอบสนองต่อเหตุการณ์ได้อย่างรวดเร็วและทันการณ์ </v>
      </c>
      <c r="O231" s="533" t="str" cm="1">
        <f t="array" aca="1" ref="O231" ca="1">IF(INDIRECT("'"&amp;B231&amp;"'!N"&amp;C231)=0,"N/A",INDIRECT("'"&amp;B231&amp;"'!N"&amp;C231))</f>
        <v>Maturity</v>
      </c>
      <c r="P231" s="527" t="str" cm="1">
        <f t="array" aca="1" ref="P231" ca="1">IF(INDIRECT("'"&amp;B231&amp;"'!L"&amp;C231)=0,"",INDIRECT("'"&amp;B231&amp;"'!L"&amp;C231))</f>
        <v/>
      </c>
      <c r="Q231" s="527" t="str">
        <f t="shared" ca="1" si="25"/>
        <v/>
      </c>
      <c r="R231" s="563" t="str">
        <f t="shared" ca="1" si="24"/>
        <v>Yes</v>
      </c>
      <c r="S231" s="528" t="s">
        <v>1631</v>
      </c>
      <c r="T231" s="529" t="str">
        <f t="shared" si="26"/>
        <v/>
      </c>
      <c r="U231" s="529" t="str">
        <f t="shared" si="27"/>
        <v>X</v>
      </c>
      <c r="V231" s="529" t="str">
        <f t="shared" si="28"/>
        <v/>
      </c>
      <c r="W231" s="529" t="str">
        <f t="shared" si="29"/>
        <v/>
      </c>
      <c r="X231" s="529" t="str">
        <f t="shared" si="30"/>
        <v>X</v>
      </c>
      <c r="Y231" s="529" t="str">
        <f t="shared" si="31"/>
        <v/>
      </c>
    </row>
    <row r="232" spans="1:25" ht="25.05" x14ac:dyDescent="0.2">
      <c r="A232" s="253" t="s">
        <v>1345</v>
      </c>
      <c r="B232" s="253" t="s">
        <v>1630</v>
      </c>
      <c r="C232" s="253">
        <v>6</v>
      </c>
      <c r="D232" s="253" t="s">
        <v>1579</v>
      </c>
      <c r="E232" s="534">
        <v>2.11</v>
      </c>
      <c r="F232" s="253" t="s">
        <v>1571</v>
      </c>
      <c r="G232" s="215" t="str" cm="1">
        <f t="array" aca="1" ref="G232" ca="1">IF(INDIRECT("'"&amp;B232&amp;"'!B"&amp;C232)=0,"",INDIRECT("'"&amp;B232&amp;"'!B"&amp;C232))</f>
        <v>x</v>
      </c>
      <c r="H232" s="215" t="str" cm="1">
        <f t="array" aca="1" ref="H232" ca="1">IF(INDIRECT("'"&amp;B232&amp;"'!C"&amp;C232)=0,"",INDIRECT("'"&amp;B232&amp;"'!C"&amp;C232))</f>
        <v>x</v>
      </c>
      <c r="I232" s="215" t="str" cm="1">
        <f t="array" aca="1" ref="I232" ca="1">IF(INDIRECT("'"&amp;B232&amp;"'!D"&amp;C232)=0,"",INDIRECT("'"&amp;B232&amp;"'!D"&amp;C232))</f>
        <v>x</v>
      </c>
      <c r="J232" s="215" t="str" cm="1">
        <f t="array" aca="1" ref="J232" ca="1">IF(INDIRECT("'"&amp;B232&amp;"'!E"&amp;C232)=0,"",INDIRECT("'"&amp;B232&amp;"'!E"&amp;C232))</f>
        <v/>
      </c>
      <c r="K232" s="253" cm="1">
        <f t="array" aca="1" ref="K232" ca="1">IF(INDIRECT("'"&amp;B232&amp;"'!F"&amp;C232)=0,"N/A",INDIRECT("'"&amp;B232&amp;"'!F"&amp;C232))</f>
        <v>11.2</v>
      </c>
      <c r="L232" s="253" t="str" cm="1">
        <f t="array" aca="1" ref="L232" ca="1">IF(INDIRECT("'"&amp;B232&amp;"'!G"&amp;C232)=0,"N/A",INDIRECT("'"&amp;B232&amp;"'!G"&amp;C232))</f>
        <v>1(1)-1(2)</v>
      </c>
      <c r="M232" s="253" t="str" cm="1">
        <f t="array" aca="1" ref="M232" ca="1">IF(INDIRECT("'"&amp;B232&amp;"'!H"&amp;C232)=0,"N/A",INDIRECT("'"&amp;B232&amp;"'!H"&amp;C232))</f>
        <v>11.2 #1(1)-1(2)</v>
      </c>
      <c r="N232" s="221" t="str" cm="1">
        <f t="array" aca="1" ref="N232" ca="1">IF(INDIRECT("'"&amp;B232&amp;"'!I"&amp;C232)=0,"N/A",INDIRECT("'"&amp;B232&amp;"'!I"&amp;C232))</f>
        <v>มีการตรวจสอบความถูกต้องของข้อมูลที่ได้รับแจ้ง รวมทั้ง มีการจัดประเภทและความเร่งด่วนของเหตุการณ์ เพื่อดำเนินการแก้ไขปัญหาภายในระยะเวลาที่เหมาะสม</v>
      </c>
      <c r="O232" s="533" t="str" cm="1">
        <f t="array" aca="1" ref="O232" ca="1">IF(INDIRECT("'"&amp;B232&amp;"'!N"&amp;C232)=0,"N/A",INDIRECT("'"&amp;B232&amp;"'!N"&amp;C232))</f>
        <v>Yes/Partial/No</v>
      </c>
      <c r="P232" s="527" t="str" cm="1">
        <f t="array" aca="1" ref="P232" ca="1">IF(INDIRECT("'"&amp;B232&amp;"'!L"&amp;C232)=0,"",INDIRECT("'"&amp;B232&amp;"'!L"&amp;C232))</f>
        <v/>
      </c>
      <c r="Q232" s="527" t="str">
        <f t="shared" ca="1" si="25"/>
        <v/>
      </c>
      <c r="R232" s="563" t="str">
        <f t="shared" ca="1" si="24"/>
        <v>Yes</v>
      </c>
      <c r="S232" s="528" t="s">
        <v>1632</v>
      </c>
      <c r="T232" s="529" t="str">
        <f t="shared" si="26"/>
        <v/>
      </c>
      <c r="U232" s="529" t="str">
        <f t="shared" si="27"/>
        <v/>
      </c>
      <c r="V232" s="529" t="str">
        <f t="shared" si="28"/>
        <v/>
      </c>
      <c r="W232" s="529" t="str">
        <f t="shared" si="29"/>
        <v>X</v>
      </c>
      <c r="X232" s="529" t="str">
        <f t="shared" si="30"/>
        <v>X</v>
      </c>
      <c r="Y232" s="529" t="str">
        <f t="shared" si="31"/>
        <v/>
      </c>
    </row>
    <row r="233" spans="1:25" ht="37.6" x14ac:dyDescent="0.2">
      <c r="A233" s="253" t="s">
        <v>1350</v>
      </c>
      <c r="B233" s="253" t="s">
        <v>1630</v>
      </c>
      <c r="C233" s="253">
        <v>7</v>
      </c>
      <c r="D233" s="253" t="s">
        <v>1579</v>
      </c>
      <c r="E233" s="534">
        <v>2.11</v>
      </c>
      <c r="F233" s="253" t="s">
        <v>1571</v>
      </c>
      <c r="G233" s="215" t="str" cm="1">
        <f t="array" aca="1" ref="G233" ca="1">IF(INDIRECT("'"&amp;B233&amp;"'!B"&amp;C233)=0,"",INDIRECT("'"&amp;B233&amp;"'!B"&amp;C233))</f>
        <v>x</v>
      </c>
      <c r="H233" s="215" t="str" cm="1">
        <f t="array" aca="1" ref="H233" ca="1">IF(INDIRECT("'"&amp;B233&amp;"'!C"&amp;C233)=0,"",INDIRECT("'"&amp;B233&amp;"'!C"&amp;C233))</f>
        <v>x</v>
      </c>
      <c r="I233" s="215" t="str" cm="1">
        <f t="array" aca="1" ref="I233" ca="1">IF(INDIRECT("'"&amp;B233&amp;"'!D"&amp;C233)=0,"",INDIRECT("'"&amp;B233&amp;"'!D"&amp;C233))</f>
        <v>x</v>
      </c>
      <c r="J233" s="215" t="str" cm="1">
        <f t="array" aca="1" ref="J233" ca="1">IF(INDIRECT("'"&amp;B233&amp;"'!E"&amp;C233)=0,"",INDIRECT("'"&amp;B233&amp;"'!E"&amp;C233))</f>
        <v/>
      </c>
      <c r="K233" s="253" cm="1">
        <f t="array" aca="1" ref="K233" ca="1">IF(INDIRECT("'"&amp;B233&amp;"'!F"&amp;C233)=0,"N/A",INDIRECT("'"&amp;B233&amp;"'!F"&amp;C233))</f>
        <v>11.2</v>
      </c>
      <c r="L233" s="253" t="str" cm="1">
        <f t="array" aca="1" ref="L233" ca="1">IF(INDIRECT("'"&amp;B233&amp;"'!G"&amp;C233)=0,"N/A",INDIRECT("'"&amp;B233&amp;"'!G"&amp;C233))</f>
        <v>1(3)</v>
      </c>
      <c r="M233" s="253" t="str" cm="1">
        <f t="array" aca="1" ref="M233" ca="1">IF(INDIRECT("'"&amp;B233&amp;"'!H"&amp;C233)=0,"N/A",INDIRECT("'"&amp;B233&amp;"'!H"&amp;C233))</f>
        <v>11.2 #1(3)</v>
      </c>
      <c r="N233" s="221" t="str" cm="1">
        <f t="array" aca="1" ref="N233" ca="1">IF(INDIRECT("'"&amp;B233&amp;"'!I"&amp;C233)=0,"N/A",INDIRECT("'"&amp;B233&amp;"'!I"&amp;C233))</f>
        <v xml:space="preserve">มีการวิเคราะห์ข้อมูล (analysis) การจำกัดความเสียหาย (containment) การจัดเก็บหลักฐานอย่างปลอดภัย (evidence gathering) การหาแนวทางแก้ไข (resolution research) และการแก้ไขปัญหาและฟื้นฟูระบบ (eradication and recovery) ตลอดจนการจัดให้มีช่องทางประสานงานจากผู้เชี่ยวชาญทั้งภายในและภายนอก </v>
      </c>
      <c r="O233" s="533" t="str" cm="1">
        <f t="array" aca="1" ref="O233" ca="1">IF(INDIRECT("'"&amp;B233&amp;"'!N"&amp;C233)=0,"N/A",INDIRECT("'"&amp;B233&amp;"'!N"&amp;C233))</f>
        <v>Yes/Partial/No</v>
      </c>
      <c r="P233" s="527" t="str" cm="1">
        <f t="array" aca="1" ref="P233" ca="1">IF(INDIRECT("'"&amp;B233&amp;"'!L"&amp;C233)=0,"",INDIRECT("'"&amp;B233&amp;"'!L"&amp;C233))</f>
        <v/>
      </c>
      <c r="Q233" s="527" t="str">
        <f t="shared" ca="1" si="25"/>
        <v/>
      </c>
      <c r="R233" s="563" t="str">
        <f t="shared" ca="1" si="24"/>
        <v>Yes</v>
      </c>
      <c r="S233" s="528" t="s">
        <v>1633</v>
      </c>
      <c r="T233" s="529" t="str">
        <f t="shared" si="26"/>
        <v/>
      </c>
      <c r="U233" s="529" t="str">
        <f t="shared" si="27"/>
        <v/>
      </c>
      <c r="V233" s="529" t="str">
        <f t="shared" si="28"/>
        <v/>
      </c>
      <c r="W233" s="529" t="str">
        <f t="shared" si="29"/>
        <v/>
      </c>
      <c r="X233" s="529" t="str">
        <f t="shared" si="30"/>
        <v>X</v>
      </c>
      <c r="Y233" s="529" t="str">
        <f t="shared" si="31"/>
        <v>X</v>
      </c>
    </row>
    <row r="234" spans="1:25" ht="25.05" x14ac:dyDescent="0.2">
      <c r="A234" s="253" t="s">
        <v>1354</v>
      </c>
      <c r="B234" s="253" t="s">
        <v>1630</v>
      </c>
      <c r="C234" s="253">
        <v>8</v>
      </c>
      <c r="D234" s="253" t="s">
        <v>1579</v>
      </c>
      <c r="E234" s="534">
        <v>2.11</v>
      </c>
      <c r="F234" s="253" t="s">
        <v>1571</v>
      </c>
      <c r="G234" s="215" t="str" cm="1">
        <f t="array" aca="1" ref="G234" ca="1">IF(INDIRECT("'"&amp;B234&amp;"'!B"&amp;C234)=0,"",INDIRECT("'"&amp;B234&amp;"'!B"&amp;C234))</f>
        <v>x</v>
      </c>
      <c r="H234" s="215" t="str" cm="1">
        <f t="array" aca="1" ref="H234" ca="1">IF(INDIRECT("'"&amp;B234&amp;"'!C"&amp;C234)=0,"",INDIRECT("'"&amp;B234&amp;"'!C"&amp;C234))</f>
        <v>x</v>
      </c>
      <c r="I234" s="215" t="str" cm="1">
        <f t="array" aca="1" ref="I234" ca="1">IF(INDIRECT("'"&amp;B234&amp;"'!D"&amp;C234)=0,"",INDIRECT("'"&amp;B234&amp;"'!D"&amp;C234))</f>
        <v>x</v>
      </c>
      <c r="J234" s="215" t="str" cm="1">
        <f t="array" aca="1" ref="J234" ca="1">IF(INDIRECT("'"&amp;B234&amp;"'!E"&amp;C234)=0,"",INDIRECT("'"&amp;B234&amp;"'!E"&amp;C234))</f>
        <v/>
      </c>
      <c r="K234" s="253" cm="1">
        <f t="array" aca="1" ref="K234" ca="1">IF(INDIRECT("'"&amp;B234&amp;"'!F"&amp;C234)=0,"N/A",INDIRECT("'"&amp;B234&amp;"'!F"&amp;C234))</f>
        <v>11.2</v>
      </c>
      <c r="L234" s="253" t="str" cm="1">
        <f t="array" aca="1" ref="L234" ca="1">IF(INDIRECT("'"&amp;B234&amp;"'!G"&amp;C234)=0,"N/A",INDIRECT("'"&amp;B234&amp;"'!G"&amp;C234))</f>
        <v>1(4)</v>
      </c>
      <c r="M234" s="253" t="str" cm="1">
        <f t="array" aca="1" ref="M234" ca="1">IF(INDIRECT("'"&amp;B234&amp;"'!H"&amp;C234)=0,"N/A",INDIRECT("'"&amp;B234&amp;"'!H"&amp;C234))</f>
        <v>11.2 #1(4)</v>
      </c>
      <c r="N234" s="221" t="str" cm="1">
        <f t="array" aca="1" ref="N234" ca="1">IF(INDIRECT("'"&amp;B234&amp;"'!I"&amp;C234)=0,"N/A",INDIRECT("'"&amp;B234&amp;"'!I"&amp;C234))</f>
        <v>มีการรายงานเหตุการณ์ผิดปกติ (incident escalation) และรายงานความคืบหน้าของเหตุการณ์ต่อผู้บริหารระดับสูง และคณะกรรมการของผู้ประกอบธุรกิจตามระดับความรุนแรงของเหตุการณ์</v>
      </c>
      <c r="O234" s="533" t="str" cm="1">
        <f t="array" aca="1" ref="O234" ca="1">IF(INDIRECT("'"&amp;B234&amp;"'!N"&amp;C234)=0,"N/A",INDIRECT("'"&amp;B234&amp;"'!N"&amp;C234))</f>
        <v>Yes/Partial/No</v>
      </c>
      <c r="P234" s="527" t="str" cm="1">
        <f t="array" aca="1" ref="P234" ca="1">IF(INDIRECT("'"&amp;B234&amp;"'!L"&amp;C234)=0,"",INDIRECT("'"&amp;B234&amp;"'!L"&amp;C234))</f>
        <v/>
      </c>
      <c r="Q234" s="527" t="str">
        <f t="shared" ca="1" si="25"/>
        <v/>
      </c>
      <c r="R234" s="563" t="str">
        <f t="shared" ca="1" si="24"/>
        <v>Yes</v>
      </c>
      <c r="S234" s="528" t="s">
        <v>1583</v>
      </c>
      <c r="T234" s="529" t="str">
        <f t="shared" si="26"/>
        <v/>
      </c>
      <c r="U234" s="529" t="str">
        <f t="shared" si="27"/>
        <v/>
      </c>
      <c r="V234" s="529" t="str">
        <f t="shared" si="28"/>
        <v/>
      </c>
      <c r="W234" s="529" t="str">
        <f t="shared" si="29"/>
        <v/>
      </c>
      <c r="X234" s="529" t="str">
        <f t="shared" si="30"/>
        <v>X</v>
      </c>
      <c r="Y234" s="529" t="str">
        <f t="shared" si="31"/>
        <v/>
      </c>
    </row>
    <row r="235" spans="1:25" ht="50.1" x14ac:dyDescent="0.2">
      <c r="A235" s="253" t="s">
        <v>1358</v>
      </c>
      <c r="B235" s="253" t="s">
        <v>1630</v>
      </c>
      <c r="C235" s="253">
        <v>9</v>
      </c>
      <c r="D235" s="253" t="s">
        <v>1579</v>
      </c>
      <c r="E235" s="534">
        <v>2.11</v>
      </c>
      <c r="F235" s="253" t="s">
        <v>1571</v>
      </c>
      <c r="G235" s="215" t="str" cm="1">
        <f t="array" aca="1" ref="G235" ca="1">IF(INDIRECT("'"&amp;B235&amp;"'!B"&amp;C235)=0,"",INDIRECT("'"&amp;B235&amp;"'!B"&amp;C235))</f>
        <v>x</v>
      </c>
      <c r="H235" s="215" t="str" cm="1">
        <f t="array" aca="1" ref="H235" ca="1">IF(INDIRECT("'"&amp;B235&amp;"'!C"&amp;C235)=0,"",INDIRECT("'"&amp;B235&amp;"'!C"&amp;C235))</f>
        <v>x</v>
      </c>
      <c r="I235" s="215" t="str" cm="1">
        <f t="array" aca="1" ref="I235" ca="1">IF(INDIRECT("'"&amp;B235&amp;"'!D"&amp;C235)=0,"",INDIRECT("'"&amp;B235&amp;"'!D"&amp;C235))</f>
        <v>x</v>
      </c>
      <c r="J235" s="215" t="str" cm="1">
        <f t="array" aca="1" ref="J235" ca="1">IF(INDIRECT("'"&amp;B235&amp;"'!E"&amp;C235)=0,"",INDIRECT("'"&amp;B235&amp;"'!E"&amp;C235))</f>
        <v/>
      </c>
      <c r="K235" s="253" cm="1">
        <f t="array" aca="1" ref="K235" ca="1">IF(INDIRECT("'"&amp;B235&amp;"'!F"&amp;C235)=0,"N/A",INDIRECT("'"&amp;B235&amp;"'!F"&amp;C235))</f>
        <v>11.2</v>
      </c>
      <c r="L235" s="253" t="str" cm="1">
        <f t="array" aca="1" ref="L235" ca="1">IF(INDIRECT("'"&amp;B235&amp;"'!G"&amp;C235)=0,"N/A",INDIRECT("'"&amp;B235&amp;"'!G"&amp;C235))</f>
        <v>1(5)</v>
      </c>
      <c r="M235" s="253" t="str" cm="1">
        <f t="array" aca="1" ref="M235" ca="1">IF(INDIRECT("'"&amp;B235&amp;"'!H"&amp;C235)=0,"N/A",INDIRECT("'"&amp;B235&amp;"'!H"&amp;C235))</f>
        <v>11.2 #1(5)</v>
      </c>
      <c r="N235" s="221" t="str" cm="1">
        <f t="array" aca="1" ref="N235" ca="1">IF(INDIRECT("'"&amp;B235&amp;"'!I"&amp;C235)=0,"N/A",INDIRECT("'"&amp;B235&amp;"'!I"&amp;C235))</f>
        <v xml:space="preserve">มีการแจ้งหรือสื่อสารลูกค้า โดยกำหนดผู้รับผิดชอบในการสื่อสารไปยังลูกค้า และช่องทางการสื่อสาร เพื่อให้ลูกค้ารับทราบผลกระทบและความคืบหน้าการแก้ไขเหตุการณ์ผิดปกติ ตลอดจนให้คำแนะนำการใช้บริการในทางช่องทางอื่น (ถ้ามี) ระหว่างที่บริการที่เกิดเหตุยังไม่สามารถกลับมาใช้งานได้ปกติ เพื่อให้ลูกค้าได้มีทางเลือกในการจัดการธุรกรรมของตนเอง </v>
      </c>
      <c r="O235" s="533" t="str" cm="1">
        <f t="array" aca="1" ref="O235" ca="1">IF(INDIRECT("'"&amp;B235&amp;"'!N"&amp;C235)=0,"N/A",INDIRECT("'"&amp;B235&amp;"'!N"&amp;C235))</f>
        <v>Yes/Partial/No</v>
      </c>
      <c r="P235" s="527" t="str" cm="1">
        <f t="array" aca="1" ref="P235" ca="1">IF(INDIRECT("'"&amp;B235&amp;"'!L"&amp;C235)=0,"",INDIRECT("'"&amp;B235&amp;"'!L"&amp;C235))</f>
        <v/>
      </c>
      <c r="Q235" s="527" t="str">
        <f t="shared" ca="1" si="25"/>
        <v/>
      </c>
      <c r="R235" s="563" t="str">
        <f t="shared" ca="1" si="24"/>
        <v>Yes</v>
      </c>
      <c r="S235" s="528" t="s">
        <v>1583</v>
      </c>
      <c r="T235" s="529" t="str">
        <f t="shared" si="26"/>
        <v/>
      </c>
      <c r="U235" s="529" t="str">
        <f t="shared" si="27"/>
        <v/>
      </c>
      <c r="V235" s="529" t="str">
        <f t="shared" si="28"/>
        <v/>
      </c>
      <c r="W235" s="529" t="str">
        <f t="shared" si="29"/>
        <v/>
      </c>
      <c r="X235" s="529" t="str">
        <f t="shared" si="30"/>
        <v>X</v>
      </c>
      <c r="Y235" s="529" t="str">
        <f t="shared" si="31"/>
        <v/>
      </c>
    </row>
    <row r="236" spans="1:25" ht="37.6" x14ac:dyDescent="0.2">
      <c r="A236" s="253" t="s">
        <v>1362</v>
      </c>
      <c r="B236" s="253" t="s">
        <v>1630</v>
      </c>
      <c r="C236" s="253">
        <v>10</v>
      </c>
      <c r="D236" s="253" t="s">
        <v>1579</v>
      </c>
      <c r="E236" s="534">
        <v>2.11</v>
      </c>
      <c r="F236" s="253" t="s">
        <v>1571</v>
      </c>
      <c r="G236" s="215" t="str" cm="1">
        <f t="array" aca="1" ref="G236" ca="1">IF(INDIRECT("'"&amp;B236&amp;"'!B"&amp;C236)=0,"",INDIRECT("'"&amp;B236&amp;"'!B"&amp;C236))</f>
        <v>x</v>
      </c>
      <c r="H236" s="215" t="str" cm="1">
        <f t="array" aca="1" ref="H236" ca="1">IF(INDIRECT("'"&amp;B236&amp;"'!C"&amp;C236)=0,"",INDIRECT("'"&amp;B236&amp;"'!C"&amp;C236))</f>
        <v>x</v>
      </c>
      <c r="I236" s="215" t="str" cm="1">
        <f t="array" aca="1" ref="I236" ca="1">IF(INDIRECT("'"&amp;B236&amp;"'!D"&amp;C236)=0,"",INDIRECT("'"&amp;B236&amp;"'!D"&amp;C236))</f>
        <v>x</v>
      </c>
      <c r="J236" s="215" t="str" cm="1">
        <f t="array" aca="1" ref="J236" ca="1">IF(INDIRECT("'"&amp;B236&amp;"'!E"&amp;C236)=0,"",INDIRECT("'"&amp;B236&amp;"'!E"&amp;C236))</f>
        <v/>
      </c>
      <c r="K236" s="253" cm="1">
        <f t="array" aca="1" ref="K236" ca="1">IF(INDIRECT("'"&amp;B236&amp;"'!F"&amp;C236)=0,"N/A",INDIRECT("'"&amp;B236&amp;"'!F"&amp;C236))</f>
        <v>11.2</v>
      </c>
      <c r="L236" s="253" t="str" cm="1">
        <f t="array" aca="1" ref="L236" ca="1">IF(INDIRECT("'"&amp;B236&amp;"'!G"&amp;C236)=0,"N/A",INDIRECT("'"&amp;B236&amp;"'!G"&amp;C236))</f>
        <v>1(6)</v>
      </c>
      <c r="M236" s="253" t="str" cm="1">
        <f t="array" aca="1" ref="M236" ca="1">IF(INDIRECT("'"&amp;B236&amp;"'!H"&amp;C236)=0,"N/A",INDIRECT("'"&amp;B236&amp;"'!H"&amp;C236))</f>
        <v>11.2 #1(6)</v>
      </c>
      <c r="N236" s="221" t="str" cm="1">
        <f t="array" aca="1" ref="N236" ca="1">IF(INDIRECT("'"&amp;B236&amp;"'!I"&amp;C236)=0,"N/A",INDIRECT("'"&amp;B236&amp;"'!I"&amp;C236))</f>
        <v xml:space="preserve">มีการตรวจพิสูจน์พยานหลักฐานทางดิจิทัล (digital forensic) ในกรณีภัยคุกคามทางไซเบอร์ซึ่งส่งผลกระทบอย่างมีนัยสำคัญต่อทรัพย์สินและข้อมูลของลูกค้า โดยผู้ที่มีความเชี่ยวชาญ เพื่อให้ทราบสาเหตุหรือช่องโหว่ของระบบ และสามารถดำเนินการปิดช่องโหว่ได้อย่างปลอดภัย  </v>
      </c>
      <c r="O236" s="533" t="str" cm="1">
        <f t="array" aca="1" ref="O236" ca="1">IF(INDIRECT("'"&amp;B236&amp;"'!N"&amp;C236)=0,"N/A",INDIRECT("'"&amp;B236&amp;"'!N"&amp;C236))</f>
        <v>Yes/Partial/No</v>
      </c>
      <c r="P236" s="527" t="str" cm="1">
        <f t="array" aca="1" ref="P236" ca="1">IF(INDIRECT("'"&amp;B236&amp;"'!L"&amp;C236)=0,"",INDIRECT("'"&amp;B236&amp;"'!L"&amp;C236))</f>
        <v/>
      </c>
      <c r="Q236" s="527" t="str">
        <f t="shared" ca="1" si="25"/>
        <v/>
      </c>
      <c r="R236" s="563" t="str">
        <f t="shared" ca="1" si="24"/>
        <v>Yes</v>
      </c>
      <c r="S236" s="528" t="s">
        <v>1583</v>
      </c>
      <c r="T236" s="529" t="str">
        <f t="shared" si="26"/>
        <v/>
      </c>
      <c r="U236" s="529" t="str">
        <f t="shared" si="27"/>
        <v/>
      </c>
      <c r="V236" s="529" t="str">
        <f t="shared" si="28"/>
        <v/>
      </c>
      <c r="W236" s="529" t="str">
        <f t="shared" si="29"/>
        <v/>
      </c>
      <c r="X236" s="529" t="str">
        <f t="shared" si="30"/>
        <v>X</v>
      </c>
      <c r="Y236" s="529" t="str">
        <f t="shared" si="31"/>
        <v/>
      </c>
    </row>
    <row r="237" spans="1:25" ht="25.05" x14ac:dyDescent="0.2">
      <c r="A237" s="253" t="s">
        <v>1367</v>
      </c>
      <c r="B237" s="253" t="s">
        <v>1630</v>
      </c>
      <c r="C237" s="253">
        <v>11</v>
      </c>
      <c r="D237" s="253" t="s">
        <v>1579</v>
      </c>
      <c r="E237" s="534">
        <v>2.11</v>
      </c>
      <c r="F237" s="253" t="s">
        <v>1571</v>
      </c>
      <c r="G237" s="215" t="str" cm="1">
        <f t="array" aca="1" ref="G237" ca="1">IF(INDIRECT("'"&amp;B237&amp;"'!B"&amp;C237)=0,"",INDIRECT("'"&amp;B237&amp;"'!B"&amp;C237))</f>
        <v>x</v>
      </c>
      <c r="H237" s="215" t="str" cm="1">
        <f t="array" aca="1" ref="H237" ca="1">IF(INDIRECT("'"&amp;B237&amp;"'!C"&amp;C237)=0,"",INDIRECT("'"&amp;B237&amp;"'!C"&amp;C237))</f>
        <v>x</v>
      </c>
      <c r="I237" s="215" t="str" cm="1">
        <f t="array" aca="1" ref="I237" ca="1">IF(INDIRECT("'"&amp;B237&amp;"'!D"&amp;C237)=0,"",INDIRECT("'"&amp;B237&amp;"'!D"&amp;C237))</f>
        <v>x</v>
      </c>
      <c r="J237" s="215" t="str" cm="1">
        <f t="array" aca="1" ref="J237" ca="1">IF(INDIRECT("'"&amp;B237&amp;"'!E"&amp;C237)=0,"",INDIRECT("'"&amp;B237&amp;"'!E"&amp;C237))</f>
        <v>x</v>
      </c>
      <c r="K237" s="253" cm="1">
        <f t="array" aca="1" ref="K237" ca="1">IF(INDIRECT("'"&amp;B237&amp;"'!F"&amp;C237)=0,"N/A",INDIRECT("'"&amp;B237&amp;"'!F"&amp;C237))</f>
        <v>11.3</v>
      </c>
      <c r="L237" s="253" t="str" cm="1">
        <f t="array" aca="1" ref="L237" ca="1">IF(INDIRECT("'"&amp;B237&amp;"'!G"&amp;C237)=0,"N/A",INDIRECT("'"&amp;B237&amp;"'!G"&amp;C237))</f>
        <v>1-2</v>
      </c>
      <c r="M237" s="253" t="str" cm="1">
        <f t="array" aca="1" ref="M237" ca="1">IF(INDIRECT("'"&amp;B237&amp;"'!H"&amp;C237)=0,"N/A",INDIRECT("'"&amp;B237&amp;"'!H"&amp;C237))</f>
        <v>11.3 #1-2</v>
      </c>
      <c r="N237" s="221" t="str" cm="1">
        <f t="array" aca="1" ref="N237" ca="1">IF(INDIRECT("'"&amp;B237&amp;"'!I"&amp;C237)=0,"N/A",INDIRECT("'"&amp;B237&amp;"'!I"&amp;C237))</f>
        <v>มีการรายงานเหตุการณ์ผิดปกติด้าน IT ต่อผู้มีหน้าที่รับผิดชอบเหตุการณ์ของผู้ประกอบธุรกิจ และสำนักงานโดยไม่ชักช้าเมื่อทราบเหตุการณ์</v>
      </c>
      <c r="O237" s="533" t="str" cm="1">
        <f t="array" aca="1" ref="O237" ca="1">IF(INDIRECT("'"&amp;B237&amp;"'!N"&amp;C237)=0,"N/A",INDIRECT("'"&amp;B237&amp;"'!N"&amp;C237))</f>
        <v>Yes/Partial/No</v>
      </c>
      <c r="P237" s="527" t="str" cm="1">
        <f t="array" aca="1" ref="P237" ca="1">IF(INDIRECT("'"&amp;B237&amp;"'!L"&amp;C237)=0,"",INDIRECT("'"&amp;B237&amp;"'!L"&amp;C237))</f>
        <v/>
      </c>
      <c r="Q237" s="527" t="str">
        <f t="shared" ca="1" si="25"/>
        <v/>
      </c>
      <c r="R237" s="563" t="str">
        <f t="shared" ca="1" si="24"/>
        <v>Yes</v>
      </c>
      <c r="S237" s="528" t="s">
        <v>1583</v>
      </c>
      <c r="T237" s="529" t="str">
        <f t="shared" si="26"/>
        <v/>
      </c>
      <c r="U237" s="529" t="str">
        <f t="shared" si="27"/>
        <v/>
      </c>
      <c r="V237" s="529" t="str">
        <f t="shared" si="28"/>
        <v/>
      </c>
      <c r="W237" s="529" t="str">
        <f t="shared" si="29"/>
        <v/>
      </c>
      <c r="X237" s="529" t="str">
        <f t="shared" si="30"/>
        <v>X</v>
      </c>
      <c r="Y237" s="529" t="str">
        <f t="shared" si="31"/>
        <v/>
      </c>
    </row>
    <row r="238" spans="1:25" x14ac:dyDescent="0.2">
      <c r="A238" s="253" t="s">
        <v>1371</v>
      </c>
      <c r="B238" s="253" t="s">
        <v>1630</v>
      </c>
      <c r="C238" s="253">
        <v>12</v>
      </c>
      <c r="D238" s="253" t="s">
        <v>1579</v>
      </c>
      <c r="E238" s="534">
        <v>2.11</v>
      </c>
      <c r="F238" s="253" t="s">
        <v>1571</v>
      </c>
      <c r="G238" s="215" t="str" cm="1">
        <f t="array" aca="1" ref="G238" ca="1">IF(INDIRECT("'"&amp;B238&amp;"'!B"&amp;C238)=0,"",INDIRECT("'"&amp;B238&amp;"'!B"&amp;C238))</f>
        <v>x</v>
      </c>
      <c r="H238" s="215" t="str" cm="1">
        <f t="array" aca="1" ref="H238" ca="1">IF(INDIRECT("'"&amp;B238&amp;"'!C"&amp;C238)=0,"",INDIRECT("'"&amp;B238&amp;"'!C"&amp;C238))</f>
        <v>x</v>
      </c>
      <c r="I238" s="215" t="str" cm="1">
        <f t="array" aca="1" ref="I238" ca="1">IF(INDIRECT("'"&amp;B238&amp;"'!D"&amp;C238)=0,"",INDIRECT("'"&amp;B238&amp;"'!D"&amp;C238))</f>
        <v>x</v>
      </c>
      <c r="J238" s="215" t="str" cm="1">
        <f t="array" aca="1" ref="J238" ca="1">IF(INDIRECT("'"&amp;B238&amp;"'!E"&amp;C238)=0,"",INDIRECT("'"&amp;B238&amp;"'!E"&amp;C238))</f>
        <v>x</v>
      </c>
      <c r="K238" s="253" cm="1">
        <f t="array" aca="1" ref="K238" ca="1">IF(INDIRECT("'"&amp;B238&amp;"'!F"&amp;C238)=0,"N/A",INDIRECT("'"&amp;B238&amp;"'!F"&amp;C238))</f>
        <v>11.3</v>
      </c>
      <c r="L238" s="253" t="str" cm="1">
        <f t="array" aca="1" ref="L238" ca="1">IF(INDIRECT("'"&amp;B238&amp;"'!G"&amp;C238)=0,"N/A",INDIRECT("'"&amp;B238&amp;"'!G"&amp;C238))</f>
        <v>3</v>
      </c>
      <c r="M238" s="253" t="str" cm="1">
        <f t="array" aca="1" ref="M238" ca="1">IF(INDIRECT("'"&amp;B238&amp;"'!H"&amp;C238)=0,"N/A",INDIRECT("'"&amp;B238&amp;"'!H"&amp;C238))</f>
        <v>11.3 #3</v>
      </c>
      <c r="N238" s="221" t="str" cm="1">
        <f t="array" aca="1" ref="N238" ca="1">IF(INDIRECT("'"&amp;B238&amp;"'!I"&amp;C238)=0,"N/A",INDIRECT("'"&amp;B238&amp;"'!I"&amp;C238))</f>
        <v>มีการรายงานเหตุการณ์ต่อสำนักงานภายในกรอบระยะเวลาที่กำหนด</v>
      </c>
      <c r="O238" s="533" t="str" cm="1">
        <f t="array" aca="1" ref="O238" ca="1">IF(INDIRECT("'"&amp;B238&amp;"'!N"&amp;C238)=0,"N/A",INDIRECT("'"&amp;B238&amp;"'!N"&amp;C238))</f>
        <v>Yes/Partial/No</v>
      </c>
      <c r="P238" s="527" t="str" cm="1">
        <f t="array" aca="1" ref="P238" ca="1">IF(INDIRECT("'"&amp;B238&amp;"'!L"&amp;C238)=0,"",INDIRECT("'"&amp;B238&amp;"'!L"&amp;C238))</f>
        <v/>
      </c>
      <c r="Q238" s="527" t="str">
        <f t="shared" ca="1" si="25"/>
        <v/>
      </c>
      <c r="R238" s="563" t="str">
        <f t="shared" ca="1" si="24"/>
        <v>Yes</v>
      </c>
      <c r="S238" s="528" t="s">
        <v>1583</v>
      </c>
      <c r="T238" s="529" t="str">
        <f t="shared" si="26"/>
        <v/>
      </c>
      <c r="U238" s="529" t="str">
        <f t="shared" si="27"/>
        <v/>
      </c>
      <c r="V238" s="529" t="str">
        <f t="shared" si="28"/>
        <v/>
      </c>
      <c r="W238" s="529" t="str">
        <f t="shared" si="29"/>
        <v/>
      </c>
      <c r="X238" s="529" t="str">
        <f t="shared" si="30"/>
        <v>X</v>
      </c>
      <c r="Y238" s="529" t="str">
        <f t="shared" si="31"/>
        <v/>
      </c>
    </row>
    <row r="239" spans="1:25" ht="37.6" x14ac:dyDescent="0.2">
      <c r="A239" s="253" t="s">
        <v>1375</v>
      </c>
      <c r="B239" s="253" t="s">
        <v>1630</v>
      </c>
      <c r="C239" s="253">
        <v>13</v>
      </c>
      <c r="D239" s="253" t="s">
        <v>1579</v>
      </c>
      <c r="E239" s="534">
        <v>2.11</v>
      </c>
      <c r="F239" s="253" t="s">
        <v>1574</v>
      </c>
      <c r="G239" s="215" t="str" cm="1">
        <f t="array" aca="1" ref="G239" ca="1">IF(INDIRECT("'"&amp;B239&amp;"'!B"&amp;C239)=0,"",INDIRECT("'"&amp;B239&amp;"'!B"&amp;C239))</f>
        <v>x</v>
      </c>
      <c r="H239" s="215" t="str" cm="1">
        <f t="array" aca="1" ref="H239" ca="1">IF(INDIRECT("'"&amp;B239&amp;"'!C"&amp;C239)=0,"",INDIRECT("'"&amp;B239&amp;"'!C"&amp;C239))</f>
        <v/>
      </c>
      <c r="I239" s="215" t="str" cm="1">
        <f t="array" aca="1" ref="I239" ca="1">IF(INDIRECT("'"&amp;B239&amp;"'!D"&amp;C239)=0,"",INDIRECT("'"&amp;B239&amp;"'!D"&amp;C239))</f>
        <v/>
      </c>
      <c r="J239" s="215" t="str" cm="1">
        <f t="array" aca="1" ref="J239" ca="1">IF(INDIRECT("'"&amp;B239&amp;"'!E"&amp;C239)=0,"",INDIRECT("'"&amp;B239&amp;"'!E"&amp;C239))</f>
        <v/>
      </c>
      <c r="K239" s="253" cm="1">
        <f t="array" aca="1" ref="K239" ca="1">IF(INDIRECT("'"&amp;B239&amp;"'!F"&amp;C239)=0,"N/A",INDIRECT("'"&amp;B239&amp;"'!F"&amp;C239))</f>
        <v>11.3</v>
      </c>
      <c r="L239" s="253" t="str" cm="1">
        <f t="array" aca="1" ref="L239" ca="1">IF(INDIRECT("'"&amp;B239&amp;"'!G"&amp;C239)=0,"N/A",INDIRECT("'"&amp;B239&amp;"'!G"&amp;C239))</f>
        <v>4</v>
      </c>
      <c r="M239" s="253" t="str" cm="1">
        <f t="array" aca="1" ref="M239" ca="1">IF(INDIRECT("'"&amp;B239&amp;"'!H"&amp;C239)=0,"N/A",INDIRECT("'"&amp;B239&amp;"'!H"&amp;C239))</f>
        <v>11.3 #4</v>
      </c>
      <c r="N239" s="221" t="str" cm="1">
        <f t="array" aca="1" ref="N239" ca="1">IF(INDIRECT("'"&amp;B239&amp;"'!I"&amp;C239)=0,"N/A",INDIRECT("'"&amp;B239&amp;"'!I"&amp;C239))</f>
        <v>หน่วยงานโครงสร้างพื้นฐานที่สำคัญทางสารสนเทศ (critical information infrastructure organization หรือ CII organization) มีการกำหนดวิธีรายงานเหตุการณ์ผิดปกติต่อสำนักงาน และ หน่วยงานกำกับดูแลที่เกี่ยวข้อง ภายในกรอบระยะเวลาตามที่คณะกรรมการการรักษาความมั่นคงปลอดภัยไซเบอร์แห่งชาติกำหนด</v>
      </c>
      <c r="O239" s="533" t="str" cm="1">
        <f t="array" aca="1" ref="O239" ca="1">IF(INDIRECT("'"&amp;B239&amp;"'!N"&amp;C239)=0,"N/A",INDIRECT("'"&amp;B239&amp;"'!N"&amp;C239))</f>
        <v>Yes/Partial/No</v>
      </c>
      <c r="P239" s="527" t="str" cm="1">
        <f t="array" aca="1" ref="P239" ca="1">IF(INDIRECT("'"&amp;B239&amp;"'!L"&amp;C239)=0,"",INDIRECT("'"&amp;B239&amp;"'!L"&amp;C239))</f>
        <v/>
      </c>
      <c r="Q239" s="527" t="str">
        <f t="shared" ca="1" si="25"/>
        <v/>
      </c>
      <c r="R239" s="563" t="str">
        <f t="shared" ca="1" si="24"/>
        <v>Yes</v>
      </c>
      <c r="S239" s="528" t="s">
        <v>1634</v>
      </c>
      <c r="T239" s="529" t="str">
        <f t="shared" si="26"/>
        <v>X</v>
      </c>
      <c r="U239" s="529" t="str">
        <f t="shared" si="27"/>
        <v/>
      </c>
      <c r="V239" s="529" t="str">
        <f t="shared" si="28"/>
        <v/>
      </c>
      <c r="W239" s="529" t="str">
        <f t="shared" si="29"/>
        <v/>
      </c>
      <c r="X239" s="529" t="str">
        <f t="shared" si="30"/>
        <v>X</v>
      </c>
      <c r="Y239" s="529" t="str">
        <f t="shared" si="31"/>
        <v/>
      </c>
    </row>
    <row r="240" spans="1:25" ht="37.6" x14ac:dyDescent="0.2">
      <c r="A240" s="253" t="s">
        <v>1379</v>
      </c>
      <c r="B240" s="253" t="s">
        <v>1630</v>
      </c>
      <c r="C240" s="253">
        <v>14</v>
      </c>
      <c r="D240" s="253" t="s">
        <v>1579</v>
      </c>
      <c r="E240" s="534">
        <v>2.11</v>
      </c>
      <c r="F240" s="253" t="s">
        <v>1571</v>
      </c>
      <c r="G240" s="215" t="str" cm="1">
        <f t="array" aca="1" ref="G240" ca="1">IF(INDIRECT("'"&amp;B240&amp;"'!B"&amp;C240)=0,"",INDIRECT("'"&amp;B240&amp;"'!B"&amp;C240))</f>
        <v>x</v>
      </c>
      <c r="H240" s="215" t="str" cm="1">
        <f t="array" aca="1" ref="H240" ca="1">IF(INDIRECT("'"&amp;B240&amp;"'!C"&amp;C240)=0,"",INDIRECT("'"&amp;B240&amp;"'!C"&amp;C240))</f>
        <v>x</v>
      </c>
      <c r="I240" s="215" t="str" cm="1">
        <f t="array" aca="1" ref="I240" ca="1">IF(INDIRECT("'"&amp;B240&amp;"'!D"&amp;C240)=0,"",INDIRECT("'"&amp;B240&amp;"'!D"&amp;C240))</f>
        <v>x</v>
      </c>
      <c r="J240" s="215" t="str" cm="1">
        <f t="array" aca="1" ref="J240" ca="1">IF(INDIRECT("'"&amp;B240&amp;"'!E"&amp;C240)=0,"",INDIRECT("'"&amp;B240&amp;"'!E"&amp;C240))</f>
        <v>x</v>
      </c>
      <c r="K240" s="253" cm="1">
        <f t="array" aca="1" ref="K240" ca="1">IF(INDIRECT("'"&amp;B240&amp;"'!F"&amp;C240)=0,"N/A",INDIRECT("'"&amp;B240&amp;"'!F"&amp;C240))</f>
        <v>11.4</v>
      </c>
      <c r="L240" s="253" t="str" cm="1">
        <f t="array" aca="1" ref="L240" ca="1">IF(INDIRECT("'"&amp;B240&amp;"'!G"&amp;C240)=0,"N/A",INDIRECT("'"&amp;B240&amp;"'!G"&amp;C240))</f>
        <v>1</v>
      </c>
      <c r="M240" s="253" t="str" cm="1">
        <f t="array" aca="1" ref="M240" ca="1">IF(INDIRECT("'"&amp;B240&amp;"'!H"&amp;C240)=0,"N/A",INDIRECT("'"&amp;B240&amp;"'!H"&amp;C240))</f>
        <v>11.4 #1</v>
      </c>
      <c r="N240" s="221" t="str" cm="1">
        <f t="array" aca="1" ref="N240" ca="1">IF(INDIRECT("'"&amp;B240&amp;"'!I"&amp;C240)=0,"N/A",INDIRECT("'"&amp;B240&amp;"'!I"&amp;C240))</f>
        <v xml:space="preserve">มีการตรวจหา ติดตาม วิเคราะห์ และรายงานเหตุการณ์ผิดปกติด้าน IT  เพื่อหาแนวทางการแก้ไขจากสาเหตุที่แท้จริง  และนำบทเรียน (lesson learned) จากเหตุการณ์ไปป้องกันไม่ให้เกิดเหตุการณ์ซ้ำในอนาคต หรือปรับปรุงกระบวนการรับมือเหตุการณ์ผิดปกติให้มีประสิทธิภาพดีขึ้น </v>
      </c>
      <c r="O240" s="533" t="str" cm="1">
        <f t="array" aca="1" ref="O240" ca="1">IF(INDIRECT("'"&amp;B240&amp;"'!N"&amp;C240)=0,"N/A",INDIRECT("'"&amp;B240&amp;"'!N"&amp;C240))</f>
        <v>Yes/Partial/No</v>
      </c>
      <c r="P240" s="527" t="str" cm="1">
        <f t="array" aca="1" ref="P240" ca="1">IF(INDIRECT("'"&amp;B240&amp;"'!L"&amp;C240)=0,"",INDIRECT("'"&amp;B240&amp;"'!L"&amp;C240))</f>
        <v/>
      </c>
      <c r="Q240" s="527" t="str">
        <f t="shared" ca="1" si="25"/>
        <v/>
      </c>
      <c r="R240" s="563" t="str">
        <f t="shared" ca="1" si="24"/>
        <v>Yes</v>
      </c>
      <c r="S240" s="528" t="s">
        <v>1635</v>
      </c>
      <c r="T240" s="529" t="str">
        <f t="shared" si="26"/>
        <v/>
      </c>
      <c r="U240" s="529" t="str">
        <f t="shared" si="27"/>
        <v>X</v>
      </c>
      <c r="V240" s="529" t="str">
        <f t="shared" si="28"/>
        <v/>
      </c>
      <c r="W240" s="529" t="str">
        <f t="shared" si="29"/>
        <v/>
      </c>
      <c r="X240" s="529" t="str">
        <f t="shared" si="30"/>
        <v>X</v>
      </c>
      <c r="Y240" s="529" t="str">
        <f t="shared" si="31"/>
        <v/>
      </c>
    </row>
    <row r="241" spans="1:25" ht="50.1" x14ac:dyDescent="0.2">
      <c r="A241" s="253" t="s">
        <v>1383</v>
      </c>
      <c r="B241" s="253" t="s">
        <v>1630</v>
      </c>
      <c r="C241" s="253">
        <v>15</v>
      </c>
      <c r="D241" s="253" t="s">
        <v>1579</v>
      </c>
      <c r="E241" s="534">
        <v>2.11</v>
      </c>
      <c r="F241" s="253" t="s">
        <v>1571</v>
      </c>
      <c r="G241" s="215" t="str" cm="1">
        <f t="array" aca="1" ref="G241" ca="1">IF(INDIRECT("'"&amp;B241&amp;"'!B"&amp;C241)=0,"",INDIRECT("'"&amp;B241&amp;"'!B"&amp;C241))</f>
        <v>x</v>
      </c>
      <c r="H241" s="215" t="str" cm="1">
        <f t="array" aca="1" ref="H241" ca="1">IF(INDIRECT("'"&amp;B241&amp;"'!C"&amp;C241)=0,"",INDIRECT("'"&amp;B241&amp;"'!C"&amp;C241))</f>
        <v>x</v>
      </c>
      <c r="I241" s="215" t="str" cm="1">
        <f t="array" aca="1" ref="I241" ca="1">IF(INDIRECT("'"&amp;B241&amp;"'!D"&amp;C241)=0,"",INDIRECT("'"&amp;B241&amp;"'!D"&amp;C241))</f>
        <v>x</v>
      </c>
      <c r="J241" s="215" t="str" cm="1">
        <f t="array" aca="1" ref="J241" ca="1">IF(INDIRECT("'"&amp;B241&amp;"'!E"&amp;C241)=0,"",INDIRECT("'"&amp;B241&amp;"'!E"&amp;C241))</f>
        <v>x</v>
      </c>
      <c r="K241" s="253" cm="1">
        <f t="array" aca="1" ref="K241" ca="1">IF(INDIRECT("'"&amp;B241&amp;"'!F"&amp;C241)=0,"N/A",INDIRECT("'"&amp;B241&amp;"'!F"&amp;C241))</f>
        <v>11.5</v>
      </c>
      <c r="L241" s="253" t="str" cm="1">
        <f t="array" aca="1" ref="L241" ca="1">IF(INDIRECT("'"&amp;B241&amp;"'!G"&amp;C241)=0,"N/A",INDIRECT("'"&amp;B241&amp;"'!G"&amp;C241))</f>
        <v>1</v>
      </c>
      <c r="M241" s="253" t="str" cm="1">
        <f t="array" aca="1" ref="M241" ca="1">IF(INDIRECT("'"&amp;B241&amp;"'!H"&amp;C241)=0,"N/A",INDIRECT("'"&amp;B241&amp;"'!H"&amp;C241))</f>
        <v>11.5 #1</v>
      </c>
      <c r="N241" s="221" t="str" cm="1">
        <f t="array" aca="1" ref="N241" ca="1">IF(INDIRECT("'"&amp;B241&amp;"'!I"&amp;C241)=0,"N/A",INDIRECT("'"&amp;B241&amp;"'!I"&amp;C241))</f>
        <v>บันทึกข้อมูลที่เกี่ยวข้องกับการบริหารจัดการเหตุการณ์ผิดปกติด้าน IT ในรูปแบบที่เป็นมาตรฐานซึ่งมีเนื้อหาขั้นต่ำประกอบด้วย วันเวลาที่เกิดเหตุการณ์ รายละเอียดเหตุการณ์ ผลกระทบ วิธีการแก้ไข วันเวลาที่สิ้นสุดเหตุการณ์ สาเหตุที่เกิดปัญหา และแนวทางการป้องกันในอนาคต โดยมีการจัดเก็บข้อมูลดังกล่าวเป็นระยะเวลาไม่น้อยกว่า 2 ปีนับแต่วันที่เกิดเหตุการณ์นั้น ในลักษณะที่พร้อมให้สำนักงานสามารถเรียกดูและตรวจสอบได้โดยไม่ชักช้า</v>
      </c>
      <c r="O241" s="533" t="str" cm="1">
        <f t="array" aca="1" ref="O241" ca="1">IF(INDIRECT("'"&amp;B241&amp;"'!N"&amp;C241)=0,"N/A",INDIRECT("'"&amp;B241&amp;"'!N"&amp;C241))</f>
        <v>Yes/Partial/No</v>
      </c>
      <c r="P241" s="527" t="str" cm="1">
        <f t="array" aca="1" ref="P241" ca="1">IF(INDIRECT("'"&amp;B241&amp;"'!L"&amp;C241)=0,"",INDIRECT("'"&amp;B241&amp;"'!L"&amp;C241))</f>
        <v/>
      </c>
      <c r="Q241" s="527" t="str">
        <f t="shared" ca="1" si="25"/>
        <v/>
      </c>
      <c r="R241" s="563" t="str">
        <f t="shared" ca="1" si="24"/>
        <v>Yes</v>
      </c>
      <c r="S241" s="528" t="s">
        <v>1583</v>
      </c>
      <c r="T241" s="529" t="str">
        <f t="shared" si="26"/>
        <v/>
      </c>
      <c r="U241" s="529" t="str">
        <f t="shared" si="27"/>
        <v/>
      </c>
      <c r="V241" s="529" t="str">
        <f t="shared" si="28"/>
        <v/>
      </c>
      <c r="W241" s="529" t="str">
        <f t="shared" si="29"/>
        <v/>
      </c>
      <c r="X241" s="529" t="str">
        <f t="shared" si="30"/>
        <v>X</v>
      </c>
      <c r="Y241" s="529" t="str">
        <f t="shared" si="31"/>
        <v/>
      </c>
    </row>
    <row r="242" spans="1:25" ht="87.65" x14ac:dyDescent="0.2">
      <c r="A242" s="253" t="s">
        <v>1387</v>
      </c>
      <c r="B242" s="253" t="s">
        <v>1630</v>
      </c>
      <c r="C242" s="253">
        <v>16</v>
      </c>
      <c r="D242" s="253" t="s">
        <v>1579</v>
      </c>
      <c r="E242" s="534">
        <v>2.11</v>
      </c>
      <c r="F242" s="253" t="s">
        <v>1571</v>
      </c>
      <c r="G242" s="215" t="str" cm="1">
        <f t="array" aca="1" ref="G242" ca="1">IF(INDIRECT("'"&amp;B242&amp;"'!B"&amp;C242)=0,"",INDIRECT("'"&amp;B242&amp;"'!B"&amp;C242))</f>
        <v>x</v>
      </c>
      <c r="H242" s="215" t="str" cm="1">
        <f t="array" aca="1" ref="H242" ca="1">IF(INDIRECT("'"&amp;B242&amp;"'!C"&amp;C242)=0,"",INDIRECT("'"&amp;B242&amp;"'!C"&amp;C242))</f>
        <v>x</v>
      </c>
      <c r="I242" s="215" t="str" cm="1">
        <f t="array" aca="1" ref="I242" ca="1">IF(INDIRECT("'"&amp;B242&amp;"'!D"&amp;C242)=0,"",INDIRECT("'"&amp;B242&amp;"'!D"&amp;C242))</f>
        <v>x</v>
      </c>
      <c r="J242" s="215" t="str" cm="1">
        <f t="array" aca="1" ref="J242" ca="1">IF(INDIRECT("'"&amp;B242&amp;"'!E"&amp;C242)=0,"",INDIRECT("'"&amp;B242&amp;"'!E"&amp;C242))</f>
        <v/>
      </c>
      <c r="K242" s="253" cm="1">
        <f t="array" aca="1" ref="K242" ca="1">IF(INDIRECT("'"&amp;B242&amp;"'!F"&amp;C242)=0,"N/A",INDIRECT("'"&amp;B242&amp;"'!F"&amp;C242))</f>
        <v>11.6</v>
      </c>
      <c r="L242" s="253" t="str" cm="1">
        <f t="array" aca="1" ref="L242" ca="1">IF(INDIRECT("'"&amp;B242&amp;"'!G"&amp;C242)=0,"N/A",INDIRECT("'"&amp;B242&amp;"'!G"&amp;C242))</f>
        <v>1(1)</v>
      </c>
      <c r="M242" s="253" t="str" cm="1">
        <f t="array" aca="1" ref="M242" ca="1">IF(INDIRECT("'"&amp;B242&amp;"'!H"&amp;C242)=0,"N/A",INDIRECT("'"&amp;B242&amp;"'!H"&amp;C242))</f>
        <v>11.6 #1(1)</v>
      </c>
      <c r="N242" s="221" t="str" cm="1">
        <f t="array" aca="1" ref="N242" ca="1">IF(INDIRECT("'"&amp;B242&amp;"'!I"&amp;C242)=0,"N/A",INDIRECT("'"&amp;B242&amp;"'!I"&amp;C242))</f>
        <v>มีการทดสอบและทบทวนขั้นตอนปฏิบัติหรือแผนการบริหารจัดการเหตุการณ์ผิดปกติด้าน IT อย่างน้อยปีละ 1 ครั้ง ผ่านการทดสอบการบริหารจัดการเหตุการณ์ด้านภัยคุกคามทางไซเบอร์ (cyber security drill) ซึ่งมีการจำลองสถานการณ์เสี่ยง (risk scenario) ด้านเหตุการณ์ภัยคุกคามทางไซเบอร์ที่มีความเป็นไปได้ที่จะเกิดขึ้น ดังนี้
    (1) เป็นสถานการณ์ที่สอดคล้องกับลักษณะ ขอบเขต และความซับซ้อนในการประกอบธุรกิจของผู้ประกอบธุรกิจ
    (2) เป็นสถานการณ์ที่สอดคล้องกับแนวโน้มภัยคุกคามไซเบอร์ที่อาจเกิดขึ้นกับผู้ประกอบธุรกิจ 
    (3)  เป็นสถานการณ์ที่เมื่อเกิดขึ้นแล้ว จะส่งผลกระทบต่อระบบสารสนเทศอย่างมีนัยสำคัญ</v>
      </c>
      <c r="O242" s="533" t="str" cm="1">
        <f t="array" aca="1" ref="O242" ca="1">IF(INDIRECT("'"&amp;B242&amp;"'!N"&amp;C242)=0,"N/A",INDIRECT("'"&amp;B242&amp;"'!N"&amp;C242))</f>
        <v>Yes/Partial/No</v>
      </c>
      <c r="P242" s="527" t="str" cm="1">
        <f t="array" aca="1" ref="P242" ca="1">IF(INDIRECT("'"&amp;B242&amp;"'!L"&amp;C242)=0,"",INDIRECT("'"&amp;B242&amp;"'!L"&amp;C242))</f>
        <v/>
      </c>
      <c r="Q242" s="527" t="str">
        <f t="shared" ca="1" si="25"/>
        <v/>
      </c>
      <c r="R242" s="563" t="str">
        <f t="shared" ca="1" si="24"/>
        <v>Yes</v>
      </c>
      <c r="S242" s="528" t="s">
        <v>1575</v>
      </c>
      <c r="T242" s="529" t="str">
        <f t="shared" si="26"/>
        <v/>
      </c>
      <c r="U242" s="529" t="str">
        <f t="shared" si="27"/>
        <v>X</v>
      </c>
      <c r="V242" s="529" t="str">
        <f t="shared" si="28"/>
        <v/>
      </c>
      <c r="W242" s="529" t="str">
        <f t="shared" si="29"/>
        <v/>
      </c>
      <c r="X242" s="529" t="str">
        <f t="shared" si="30"/>
        <v/>
      </c>
      <c r="Y242" s="529" t="str">
        <f t="shared" si="31"/>
        <v/>
      </c>
    </row>
    <row r="243" spans="1:25" ht="62.65" x14ac:dyDescent="0.2">
      <c r="A243" s="253" t="s">
        <v>1391</v>
      </c>
      <c r="B243" s="253" t="s">
        <v>1630</v>
      </c>
      <c r="C243" s="253">
        <v>17</v>
      </c>
      <c r="D243" s="253" t="s">
        <v>1579</v>
      </c>
      <c r="E243" s="534">
        <v>2.11</v>
      </c>
      <c r="F243" s="253" t="s">
        <v>1571</v>
      </c>
      <c r="G243" s="215" t="str" cm="1">
        <f t="array" aca="1" ref="G243" ca="1">IF(INDIRECT("'"&amp;B243&amp;"'!B"&amp;C243)=0,"",INDIRECT("'"&amp;B243&amp;"'!B"&amp;C243))</f>
        <v>x</v>
      </c>
      <c r="H243" s="215" t="str" cm="1">
        <f t="array" aca="1" ref="H243" ca="1">IF(INDIRECT("'"&amp;B243&amp;"'!C"&amp;C243)=0,"",INDIRECT("'"&amp;B243&amp;"'!C"&amp;C243))</f>
        <v>x</v>
      </c>
      <c r="I243" s="215" t="str" cm="1">
        <f t="array" aca="1" ref="I243" ca="1">IF(INDIRECT("'"&amp;B243&amp;"'!D"&amp;C243)=0,"",INDIRECT("'"&amp;B243&amp;"'!D"&amp;C243))</f>
        <v>x</v>
      </c>
      <c r="J243" s="215" t="str" cm="1">
        <f t="array" aca="1" ref="J243" ca="1">IF(INDIRECT("'"&amp;B243&amp;"'!E"&amp;C243)=0,"",INDIRECT("'"&amp;B243&amp;"'!E"&amp;C243))</f>
        <v/>
      </c>
      <c r="K243" s="253" cm="1">
        <f t="array" aca="1" ref="K243" ca="1">IF(INDIRECT("'"&amp;B243&amp;"'!F"&amp;C243)=0,"N/A",INDIRECT("'"&amp;B243&amp;"'!F"&amp;C243))</f>
        <v>11.6</v>
      </c>
      <c r="L243" s="253" t="str" cm="1">
        <f t="array" aca="1" ref="L243" ca="1">IF(INDIRECT("'"&amp;B243&amp;"'!G"&amp;C243)=0,"N/A",INDIRECT("'"&amp;B243&amp;"'!G"&amp;C243))</f>
        <v>1(2)</v>
      </c>
      <c r="M243" s="253" t="str" cm="1">
        <f t="array" aca="1" ref="M243" ca="1">IF(INDIRECT("'"&amp;B243&amp;"'!H"&amp;C243)=0,"N/A",INDIRECT("'"&amp;B243&amp;"'!H"&amp;C243))</f>
        <v>11.6 #1(2)</v>
      </c>
      <c r="N243" s="221" t="str" cm="1">
        <f t="array" aca="1" ref="N243" ca="1">IF(INDIRECT("'"&amp;B243&amp;"'!I"&amp;C243)=0,"N/A",INDIRECT("'"&amp;B243&amp;"'!I"&amp;C243))</f>
        <v>มีการจัดเก็บเอกสารหลักฐานที่เกี่ยวข้องกับทดสอบแผนการบริหารจัดการเหตุการณ์ผิดปกติด้าน IT โดยมีรายละเอียดครบถ้วนและเป็นปัจจุบัน  ดังนี้
    (1) สถานการณ์ความเสี่ยง (risk scenario) รูปแบบการทดสอบ วัน เวลา สถานที่ในการทดสอบ และบทบาทหน้าที่ของผู้ที่เกี่ยวข้องที่ใช้ในการทดสอบ
    (2) สรุปผลการทดสอบ ผลการประเมิน และ ผลการทบทวนขั้นตอนการบริหารจัดการเหตุการณ์</v>
      </c>
      <c r="O243" s="533" t="str" cm="1">
        <f t="array" aca="1" ref="O243" ca="1">IF(INDIRECT("'"&amp;B243&amp;"'!N"&amp;C243)=0,"N/A",INDIRECT("'"&amp;B243&amp;"'!N"&amp;C243))</f>
        <v>Yes/Partial/No</v>
      </c>
      <c r="P243" s="527" t="str" cm="1">
        <f t="array" aca="1" ref="P243" ca="1">IF(INDIRECT("'"&amp;B243&amp;"'!L"&amp;C243)=0,"",INDIRECT("'"&amp;B243&amp;"'!L"&amp;C243))</f>
        <v/>
      </c>
      <c r="Q243" s="527" t="str">
        <f t="shared" ca="1" si="25"/>
        <v/>
      </c>
      <c r="R243" s="563" t="str">
        <f t="shared" ca="1" si="24"/>
        <v>Yes</v>
      </c>
      <c r="S243" s="528" t="s">
        <v>1636</v>
      </c>
      <c r="T243" s="529" t="str">
        <f t="shared" si="26"/>
        <v/>
      </c>
      <c r="U243" s="529" t="str">
        <f t="shared" si="27"/>
        <v>X</v>
      </c>
      <c r="V243" s="529" t="str">
        <f t="shared" si="28"/>
        <v/>
      </c>
      <c r="W243" s="529" t="str">
        <f t="shared" si="29"/>
        <v/>
      </c>
      <c r="X243" s="529" t="str">
        <f t="shared" si="30"/>
        <v>X</v>
      </c>
      <c r="Y243" s="529" t="str">
        <f t="shared" si="31"/>
        <v/>
      </c>
    </row>
    <row r="244" spans="1:25" ht="25.05" x14ac:dyDescent="0.2">
      <c r="A244" s="253" t="s">
        <v>1395</v>
      </c>
      <c r="B244" s="253" t="s">
        <v>1630</v>
      </c>
      <c r="C244" s="253">
        <v>18</v>
      </c>
      <c r="D244" s="253" t="s">
        <v>1579</v>
      </c>
      <c r="E244" s="534">
        <v>2.11</v>
      </c>
      <c r="F244" s="253" t="s">
        <v>1571</v>
      </c>
      <c r="G244" s="215" t="str" cm="1">
        <f t="array" aca="1" ref="G244" ca="1">IF(INDIRECT("'"&amp;B244&amp;"'!B"&amp;C244)=0,"",INDIRECT("'"&amp;B244&amp;"'!B"&amp;C244))</f>
        <v>x</v>
      </c>
      <c r="H244" s="215" t="str" cm="1">
        <f t="array" aca="1" ref="H244" ca="1">IF(INDIRECT("'"&amp;B244&amp;"'!C"&amp;C244)=0,"",INDIRECT("'"&amp;B244&amp;"'!C"&amp;C244))</f>
        <v>x</v>
      </c>
      <c r="I244" s="215" t="str" cm="1">
        <f t="array" aca="1" ref="I244" ca="1">IF(INDIRECT("'"&amp;B244&amp;"'!D"&amp;C244)=0,"",INDIRECT("'"&amp;B244&amp;"'!D"&amp;C244))</f>
        <v>x</v>
      </c>
      <c r="J244" s="215" t="str" cm="1">
        <f t="array" aca="1" ref="J244" ca="1">IF(INDIRECT("'"&amp;B244&amp;"'!E"&amp;C244)=0,"",INDIRECT("'"&amp;B244&amp;"'!E"&amp;C244))</f>
        <v/>
      </c>
      <c r="K244" s="253" cm="1">
        <f t="array" aca="1" ref="K244" ca="1">IF(INDIRECT("'"&amp;B244&amp;"'!F"&amp;C244)=0,"N/A",INDIRECT("'"&amp;B244&amp;"'!F"&amp;C244))</f>
        <v>11.6</v>
      </c>
      <c r="L244" s="253" t="str" cm="1">
        <f t="array" aca="1" ref="L244" ca="1">IF(INDIRECT("'"&amp;B244&amp;"'!G"&amp;C244)=0,"N/A",INDIRECT("'"&amp;B244&amp;"'!G"&amp;C244))</f>
        <v>1(3)</v>
      </c>
      <c r="M244" s="253" t="str" cm="1">
        <f t="array" aca="1" ref="M244" ca="1">IF(INDIRECT("'"&amp;B244&amp;"'!H"&amp;C244)=0,"N/A",INDIRECT("'"&amp;B244&amp;"'!H"&amp;C244))</f>
        <v>11.6 #1(3)</v>
      </c>
      <c r="N244" s="221" t="str" cm="1">
        <f t="array" aca="1" ref="N244" ca="1">IF(INDIRECT("'"&amp;B244&amp;"'!I"&amp;C244)=0,"N/A",INDIRECT("'"&amp;B244&amp;"'!I"&amp;C244))</f>
        <v xml:space="preserve">มีการรายงานผลการทดสอบและทบทวนแผนการบริหารจัดการเหตุการณ์ผิดปกติต่อคณะกรรมการของผู้ประกอบธุรกิจหรือผู้ที่ได้รับมอบหมายจากคณะกรรมการของผู้ประกอบธุรกิจ </v>
      </c>
      <c r="O244" s="533" t="str" cm="1">
        <f t="array" aca="1" ref="O244" ca="1">IF(INDIRECT("'"&amp;B244&amp;"'!N"&amp;C244)=0,"N/A",INDIRECT("'"&amp;B244&amp;"'!N"&amp;C244))</f>
        <v>Yes/Partial/No</v>
      </c>
      <c r="P244" s="527" t="str" cm="1">
        <f t="array" aca="1" ref="P244" ca="1">IF(INDIRECT("'"&amp;B244&amp;"'!L"&amp;C244)=0,"",INDIRECT("'"&amp;B244&amp;"'!L"&amp;C244))</f>
        <v/>
      </c>
      <c r="Q244" s="527" t="str">
        <f t="shared" ca="1" si="25"/>
        <v/>
      </c>
      <c r="R244" s="563" t="str">
        <f t="shared" ca="1" si="24"/>
        <v>Yes</v>
      </c>
      <c r="S244" s="528" t="s">
        <v>1624</v>
      </c>
      <c r="T244" s="529" t="str">
        <f t="shared" si="26"/>
        <v>X</v>
      </c>
      <c r="U244" s="529" t="str">
        <f t="shared" si="27"/>
        <v/>
      </c>
      <c r="V244" s="529" t="str">
        <f t="shared" si="28"/>
        <v/>
      </c>
      <c r="W244" s="529" t="str">
        <f t="shared" si="29"/>
        <v/>
      </c>
      <c r="X244" s="529" t="str">
        <f t="shared" si="30"/>
        <v/>
      </c>
      <c r="Y244" s="529" t="str">
        <f t="shared" si="31"/>
        <v/>
      </c>
    </row>
    <row r="245" spans="1:25" ht="25.05" x14ac:dyDescent="0.2">
      <c r="A245" s="253" t="s">
        <v>1399</v>
      </c>
      <c r="B245" s="253" t="s">
        <v>1630</v>
      </c>
      <c r="C245" s="253">
        <v>19</v>
      </c>
      <c r="D245" s="253" t="s">
        <v>1579</v>
      </c>
      <c r="E245" s="534">
        <v>2.11</v>
      </c>
      <c r="F245" s="253" t="s">
        <v>1574</v>
      </c>
      <c r="G245" s="215" t="str" cm="1">
        <f t="array" aca="1" ref="G245" ca="1">IF(INDIRECT("'"&amp;B245&amp;"'!B"&amp;C245)=0,"",INDIRECT("'"&amp;B245&amp;"'!B"&amp;C245))</f>
        <v>x</v>
      </c>
      <c r="H245" s="215" t="str" cm="1">
        <f t="array" aca="1" ref="H245" ca="1">IF(INDIRECT("'"&amp;B245&amp;"'!C"&amp;C245)=0,"",INDIRECT("'"&amp;B245&amp;"'!C"&amp;C245))</f>
        <v/>
      </c>
      <c r="I245" s="215" t="str" cm="1">
        <f t="array" aca="1" ref="I245" ca="1">IF(INDIRECT("'"&amp;B245&amp;"'!D"&amp;C245)=0,"",INDIRECT("'"&amp;B245&amp;"'!D"&amp;C245))</f>
        <v/>
      </c>
      <c r="J245" s="215" t="str" cm="1">
        <f t="array" aca="1" ref="J245" ca="1">IF(INDIRECT("'"&amp;B245&amp;"'!E"&amp;C245)=0,"",INDIRECT("'"&amp;B245&amp;"'!E"&amp;C245))</f>
        <v/>
      </c>
      <c r="K245" s="253" cm="1">
        <f t="array" aca="1" ref="K245" ca="1">IF(INDIRECT("'"&amp;B245&amp;"'!F"&amp;C245)=0,"N/A",INDIRECT("'"&amp;B245&amp;"'!F"&amp;C245))</f>
        <v>11.6</v>
      </c>
      <c r="L245" s="253" t="str" cm="1">
        <f t="array" aca="1" ref="L245" ca="1">IF(INDIRECT("'"&amp;B245&amp;"'!G"&amp;C245)=0,"N/A",INDIRECT("'"&amp;B245&amp;"'!G"&amp;C245))</f>
        <v>1(4)</v>
      </c>
      <c r="M245" s="253" t="str" cm="1">
        <f t="array" aca="1" ref="M245" ca="1">IF(INDIRECT("'"&amp;B245&amp;"'!H"&amp;C245)=0,"N/A",INDIRECT("'"&amp;B245&amp;"'!H"&amp;C245))</f>
        <v>11.6 #1(4)</v>
      </c>
      <c r="N245" s="221" t="str" cm="1">
        <f t="array" aca="1" ref="N245" ca="1">IF(INDIRECT("'"&amp;B245&amp;"'!I"&amp;C245)=0,"N/A",INDIRECT("'"&amp;B245&amp;"'!I"&amp;C245))</f>
        <v>มีการรายงานผลการทดสอบและทบทวนแผนการบริหารจัดการเหตุการณ์ผิดปกติต่อคณะกรรมการของผู้ประกอบธุรกิจ</v>
      </c>
      <c r="O245" s="533" t="str" cm="1">
        <f t="array" aca="1" ref="O245" ca="1">IF(INDIRECT("'"&amp;B245&amp;"'!N"&amp;C245)=0,"N/A",INDIRECT("'"&amp;B245&amp;"'!N"&amp;C245))</f>
        <v>Yes/Partial/No</v>
      </c>
      <c r="P245" s="527" t="str" cm="1">
        <f t="array" aca="1" ref="P245" ca="1">IF(INDIRECT("'"&amp;B245&amp;"'!L"&amp;C245)=0,"",INDIRECT("'"&amp;B245&amp;"'!L"&amp;C245))</f>
        <v/>
      </c>
      <c r="Q245" s="527" t="str">
        <f t="shared" ca="1" si="25"/>
        <v/>
      </c>
      <c r="R245" s="563" t="str">
        <f t="shared" ca="1" si="24"/>
        <v>Yes</v>
      </c>
      <c r="S245" s="528" t="s">
        <v>1637</v>
      </c>
      <c r="T245" s="529" t="str">
        <f t="shared" si="26"/>
        <v>X</v>
      </c>
      <c r="U245" s="529" t="str">
        <f t="shared" si="27"/>
        <v/>
      </c>
      <c r="V245" s="529" t="str">
        <f t="shared" si="28"/>
        <v/>
      </c>
      <c r="W245" s="529" t="str">
        <f t="shared" si="29"/>
        <v/>
      </c>
      <c r="X245" s="529" t="str">
        <f t="shared" si="30"/>
        <v/>
      </c>
      <c r="Y245" s="529" t="str">
        <f t="shared" si="31"/>
        <v/>
      </c>
    </row>
    <row r="246" spans="1:25" ht="25.05" x14ac:dyDescent="0.2">
      <c r="A246" s="253" t="s">
        <v>1404</v>
      </c>
      <c r="B246" s="253" t="s">
        <v>1638</v>
      </c>
      <c r="C246" s="253">
        <v>4</v>
      </c>
      <c r="D246" s="253" t="s">
        <v>1579</v>
      </c>
      <c r="E246" s="534">
        <v>2.12</v>
      </c>
      <c r="F246" s="253" t="s">
        <v>1571</v>
      </c>
      <c r="G246" s="215" t="str" cm="1">
        <f t="array" aca="1" ref="G246" ca="1">IF(INDIRECT("'"&amp;B246&amp;"'!B"&amp;C246)=0,"",INDIRECT("'"&amp;B246&amp;"'!B"&amp;C246))</f>
        <v>x</v>
      </c>
      <c r="H246" s="215" t="str" cm="1">
        <f t="array" aca="1" ref="H246" ca="1">IF(INDIRECT("'"&amp;B246&amp;"'!C"&amp;C246)=0,"",INDIRECT("'"&amp;B246&amp;"'!C"&amp;C246))</f>
        <v>x</v>
      </c>
      <c r="I246" s="215" t="str" cm="1">
        <f t="array" aca="1" ref="I246" ca="1">IF(INDIRECT("'"&amp;B246&amp;"'!D"&amp;C246)=0,"",INDIRECT("'"&amp;B246&amp;"'!D"&amp;C246))</f>
        <v>x</v>
      </c>
      <c r="J246" s="215" t="str" cm="1">
        <f t="array" aca="1" ref="J246" ca="1">IF(INDIRECT("'"&amp;B246&amp;"'!E"&amp;C246)=0,"",INDIRECT("'"&amp;B246&amp;"'!E"&amp;C246))</f>
        <v/>
      </c>
      <c r="K246" s="253" cm="1">
        <f t="array" aca="1" ref="K246" ca="1">IF(INDIRECT("'"&amp;B246&amp;"'!F"&amp;C246)=0,"N/A",INDIRECT("'"&amp;B246&amp;"'!F"&amp;C246))</f>
        <v>12.1</v>
      </c>
      <c r="L246" s="253" cm="1">
        <f t="array" aca="1" ref="L246" ca="1">IF(INDIRECT("'"&amp;B246&amp;"'!G"&amp;C246)=0,"N/A",INDIRECT("'"&amp;B246&amp;"'!G"&amp;C246))</f>
        <v>1</v>
      </c>
      <c r="M246" s="253" t="str" cm="1">
        <f t="array" aca="1" ref="M246" ca="1">IF(INDIRECT("'"&amp;B246&amp;"'!H"&amp;C246)=0,"N/A",INDIRECT("'"&amp;B246&amp;"'!H"&amp;C246))</f>
        <v>12.1 #1</v>
      </c>
      <c r="N246" s="221" t="str" cm="1">
        <f t="array" aca="1" ref="N246" ca="1">IF(INDIRECT("'"&amp;B246&amp;"'!I"&amp;C246)=0,"N/A",INDIRECT("'"&amp;B246&amp;"'!I"&amp;C246))</f>
        <v>จัดให้มีคณะทำงานหรือหน่วยงานที่รับผิดชอบในการจัดทำแผนฉุกเฉินด้าน IT อย่างเป็นลายลักษณ์อักษร โดยมีผู้บริหารและบุคลากรของหน่วยงานด้านต่าง ๆ ที่เกี่ยวข้องเข้าร่วมด้วย</v>
      </c>
      <c r="O246" s="533" t="str" cm="1">
        <f t="array" aca="1" ref="O246" ca="1">IF(INDIRECT("'"&amp;B246&amp;"'!N"&amp;C246)=0,"N/A",INDIRECT("'"&amp;B246&amp;"'!N"&amp;C246))</f>
        <v>Yes/Partial/No</v>
      </c>
      <c r="P246" s="527" t="str" cm="1">
        <f t="array" aca="1" ref="P246" ca="1">IF(INDIRECT("'"&amp;B246&amp;"'!L"&amp;C246)=0,"",INDIRECT("'"&amp;B246&amp;"'!L"&amp;C246))</f>
        <v/>
      </c>
      <c r="Q246" s="527" t="str">
        <f t="shared" ca="1" si="25"/>
        <v/>
      </c>
      <c r="R246" s="563" t="str">
        <f t="shared" ca="1" si="24"/>
        <v>Yes</v>
      </c>
      <c r="S246" s="528" t="s">
        <v>1572</v>
      </c>
      <c r="T246" s="529" t="str">
        <f t="shared" si="26"/>
        <v>X</v>
      </c>
      <c r="U246" s="529" t="str">
        <f t="shared" si="27"/>
        <v/>
      </c>
      <c r="V246" s="529" t="str">
        <f t="shared" si="28"/>
        <v/>
      </c>
      <c r="W246" s="529" t="str">
        <f t="shared" si="29"/>
        <v/>
      </c>
      <c r="X246" s="529" t="str">
        <f t="shared" si="30"/>
        <v/>
      </c>
      <c r="Y246" s="529" t="str">
        <f t="shared" si="31"/>
        <v/>
      </c>
    </row>
    <row r="247" spans="1:25" ht="37.6" x14ac:dyDescent="0.2">
      <c r="A247" s="253" t="s">
        <v>1408</v>
      </c>
      <c r="B247" s="253" t="s">
        <v>1638</v>
      </c>
      <c r="C247" s="253">
        <v>5</v>
      </c>
      <c r="D247" s="253" t="s">
        <v>1579</v>
      </c>
      <c r="E247" s="534">
        <v>2.12</v>
      </c>
      <c r="F247" s="253" t="s">
        <v>1571</v>
      </c>
      <c r="G247" s="215" t="str" cm="1">
        <f t="array" aca="1" ref="G247" ca="1">IF(INDIRECT("'"&amp;B247&amp;"'!B"&amp;C247)=0,"",INDIRECT("'"&amp;B247&amp;"'!B"&amp;C247))</f>
        <v>x</v>
      </c>
      <c r="H247" s="215" t="str" cm="1">
        <f t="array" aca="1" ref="H247" ca="1">IF(INDIRECT("'"&amp;B247&amp;"'!C"&amp;C247)=0,"",INDIRECT("'"&amp;B247&amp;"'!C"&amp;C247))</f>
        <v>x</v>
      </c>
      <c r="I247" s="215" t="str" cm="1">
        <f t="array" aca="1" ref="I247" ca="1">IF(INDIRECT("'"&amp;B247&amp;"'!D"&amp;C247)=0,"",INDIRECT("'"&amp;B247&amp;"'!D"&amp;C247))</f>
        <v>x</v>
      </c>
      <c r="J247" s="215" t="str" cm="1">
        <f t="array" aca="1" ref="J247" ca="1">IF(INDIRECT("'"&amp;B247&amp;"'!E"&amp;C247)=0,"",INDIRECT("'"&amp;B247&amp;"'!E"&amp;C247))</f>
        <v/>
      </c>
      <c r="K247" s="253" t="str" cm="1">
        <f t="array" aca="1" ref="K247" ca="1">IF(INDIRECT("'"&amp;B247&amp;"'!F"&amp;C247)=0,"N/A",INDIRECT("'"&amp;B247&amp;"'!F"&amp;C247))</f>
        <v>12.2.1</v>
      </c>
      <c r="L247" s="253" cm="1">
        <f t="array" aca="1" ref="L247" ca="1">IF(INDIRECT("'"&amp;B247&amp;"'!G"&amp;C247)=0,"N/A",INDIRECT("'"&amp;B247&amp;"'!G"&amp;C247))</f>
        <v>1</v>
      </c>
      <c r="M247" s="253" t="str" cm="1">
        <f t="array" aca="1" ref="M247" ca="1">IF(INDIRECT("'"&amp;B247&amp;"'!H"&amp;C247)=0,"N/A",INDIRECT("'"&amp;B247&amp;"'!H"&amp;C247))</f>
        <v>12.2.1 #1</v>
      </c>
      <c r="N247" s="221" t="str" cm="1">
        <f t="array" aca="1" ref="N247" ca="1">IF(INDIRECT("'"&amp;B247&amp;"'!I"&amp;C247)=0,"N/A",INDIRECT("'"&amp;B247&amp;"'!I"&amp;C247))</f>
        <v xml:space="preserve">มีการประเมินความเสี่ยง (risk analysis) เพื่อให้สามารถระบุเหตุการณ์ความเสี่ยงที่อาจทำให้กระบวนการและระบบ IT หยุดชะงัก ไม่สามารถให้บริการได้ตามปกติ หรือไม่สามารถดำเนินธุรกิจอย่างต่อเนื่อง โดยมีแนวทางการดำเนินงานครบถ้วนตามข้อกำหนด </v>
      </c>
      <c r="O247" s="533" t="str" cm="1">
        <f t="array" aca="1" ref="O247" ca="1">IF(INDIRECT("'"&amp;B247&amp;"'!N"&amp;C247)=0,"N/A",INDIRECT("'"&amp;B247&amp;"'!N"&amp;C247))</f>
        <v>Maturity</v>
      </c>
      <c r="P247" s="527" t="str" cm="1">
        <f t="array" aca="1" ref="P247" ca="1">IF(INDIRECT("'"&amp;B247&amp;"'!L"&amp;C247)=0,"",INDIRECT("'"&amp;B247&amp;"'!L"&amp;C247))</f>
        <v/>
      </c>
      <c r="Q247" s="527" t="str">
        <f t="shared" ca="1" si="25"/>
        <v/>
      </c>
      <c r="R247" s="563" t="str">
        <f t="shared" ca="1" si="24"/>
        <v>Yes</v>
      </c>
      <c r="S247" s="528" t="s">
        <v>1585</v>
      </c>
      <c r="T247" s="529" t="str">
        <f t="shared" si="26"/>
        <v/>
      </c>
      <c r="U247" s="529" t="str">
        <f t="shared" si="27"/>
        <v>X</v>
      </c>
      <c r="V247" s="529" t="str">
        <f t="shared" si="28"/>
        <v/>
      </c>
      <c r="W247" s="529" t="str">
        <f t="shared" si="29"/>
        <v/>
      </c>
      <c r="X247" s="529" t="str">
        <f t="shared" si="30"/>
        <v/>
      </c>
      <c r="Y247" s="529" t="str">
        <f t="shared" si="31"/>
        <v/>
      </c>
    </row>
    <row r="248" spans="1:25" x14ac:dyDescent="0.2">
      <c r="A248" s="253" t="s">
        <v>1418</v>
      </c>
      <c r="B248" s="253" t="s">
        <v>1638</v>
      </c>
      <c r="C248" s="253">
        <v>6</v>
      </c>
      <c r="D248" s="253" t="s">
        <v>1579</v>
      </c>
      <c r="E248" s="534">
        <v>2.12</v>
      </c>
      <c r="F248" s="253" t="s">
        <v>1571</v>
      </c>
      <c r="G248" s="215" t="str" cm="1">
        <f t="array" aca="1" ref="G248" ca="1">IF(INDIRECT("'"&amp;B248&amp;"'!B"&amp;C248)=0,"",INDIRECT("'"&amp;B248&amp;"'!B"&amp;C248))</f>
        <v>x</v>
      </c>
      <c r="H248" s="215" t="str" cm="1">
        <f t="array" aca="1" ref="H248" ca="1">IF(INDIRECT("'"&amp;B248&amp;"'!C"&amp;C248)=0,"",INDIRECT("'"&amp;B248&amp;"'!C"&amp;C248))</f>
        <v>x</v>
      </c>
      <c r="I248" s="215" t="str" cm="1">
        <f t="array" aca="1" ref="I248" ca="1">IF(INDIRECT("'"&amp;B248&amp;"'!D"&amp;C248)=0,"",INDIRECT("'"&amp;B248&amp;"'!D"&amp;C248))</f>
        <v>x</v>
      </c>
      <c r="J248" s="215" t="str" cm="1">
        <f t="array" aca="1" ref="J248" ca="1">IF(INDIRECT("'"&amp;B248&amp;"'!E"&amp;C248)=0,"",INDIRECT("'"&amp;B248&amp;"'!E"&amp;C248))</f>
        <v/>
      </c>
      <c r="K248" s="253" t="str" cm="1">
        <f t="array" aca="1" ref="K248" ca="1">IF(INDIRECT("'"&amp;B248&amp;"'!F"&amp;C248)=0,"N/A",INDIRECT("'"&amp;B248&amp;"'!F"&amp;C248))</f>
        <v>12.2.2</v>
      </c>
      <c r="L248" s="253" t="str" cm="1">
        <f t="array" aca="1" ref="L248" ca="1">IF(INDIRECT("'"&amp;B248&amp;"'!G"&amp;C248)=0,"N/A",INDIRECT("'"&amp;B248&amp;"'!G"&amp;C248))</f>
        <v>1(1)</v>
      </c>
      <c r="M248" s="253" t="str" cm="1">
        <f t="array" aca="1" ref="M248" ca="1">IF(INDIRECT("'"&amp;B248&amp;"'!H"&amp;C248)=0,"N/A",INDIRECT("'"&amp;B248&amp;"'!H"&amp;C248))</f>
        <v>12.2.2 #1(1)</v>
      </c>
      <c r="N248" s="221" t="str" cm="1">
        <f t="array" aca="1" ref="N248" ca="1">IF(INDIRECT("'"&amp;B248&amp;"'!I"&amp;C248)=0,"N/A",INDIRECT("'"&amp;B248&amp;"'!I"&amp;C248))</f>
        <v>มีการระบุรายการกระบวนการทางธุรกิจ (business process) และระบบ IT ที่กระบวนการทางธุรกิจพึ่งพา</v>
      </c>
      <c r="O248" s="533" t="str" cm="1">
        <f t="array" aca="1" ref="O248" ca="1">IF(INDIRECT("'"&amp;B248&amp;"'!N"&amp;C248)=0,"N/A",INDIRECT("'"&amp;B248&amp;"'!N"&amp;C248))</f>
        <v>Yes/Partial/No</v>
      </c>
      <c r="P248" s="527" t="str" cm="1">
        <f t="array" aca="1" ref="P248" ca="1">IF(INDIRECT("'"&amp;B248&amp;"'!L"&amp;C248)=0,"",INDIRECT("'"&amp;B248&amp;"'!L"&amp;C248))</f>
        <v/>
      </c>
      <c r="Q248" s="527" t="str">
        <f t="shared" ca="1" si="25"/>
        <v/>
      </c>
      <c r="R248" s="563" t="str">
        <f t="shared" ca="1" si="24"/>
        <v>Yes</v>
      </c>
      <c r="S248" s="528" t="s">
        <v>1572</v>
      </c>
      <c r="T248" s="529" t="str">
        <f t="shared" si="26"/>
        <v>X</v>
      </c>
      <c r="U248" s="529" t="str">
        <f t="shared" si="27"/>
        <v/>
      </c>
      <c r="V248" s="529" t="str">
        <f t="shared" si="28"/>
        <v/>
      </c>
      <c r="W248" s="529" t="str">
        <f t="shared" si="29"/>
        <v/>
      </c>
      <c r="X248" s="529" t="str">
        <f t="shared" si="30"/>
        <v/>
      </c>
      <c r="Y248" s="529" t="str">
        <f t="shared" si="31"/>
        <v/>
      </c>
    </row>
    <row r="249" spans="1:25" ht="112.7" x14ac:dyDescent="0.2">
      <c r="A249" s="253" t="s">
        <v>1423</v>
      </c>
      <c r="B249" s="253" t="s">
        <v>1638</v>
      </c>
      <c r="C249" s="253">
        <v>7</v>
      </c>
      <c r="D249" s="253" t="s">
        <v>1579</v>
      </c>
      <c r="E249" s="534">
        <v>2.12</v>
      </c>
      <c r="F249" s="253" t="s">
        <v>1571</v>
      </c>
      <c r="G249" s="215" t="str" cm="1">
        <f t="array" aca="1" ref="G249" ca="1">IF(INDIRECT("'"&amp;B249&amp;"'!B"&amp;C249)=0,"",INDIRECT("'"&amp;B249&amp;"'!B"&amp;C249))</f>
        <v>x</v>
      </c>
      <c r="H249" s="215" t="str" cm="1">
        <f t="array" aca="1" ref="H249" ca="1">IF(INDIRECT("'"&amp;B249&amp;"'!C"&amp;C249)=0,"",INDIRECT("'"&amp;B249&amp;"'!C"&amp;C249))</f>
        <v>x</v>
      </c>
      <c r="I249" s="215" t="str" cm="1">
        <f t="array" aca="1" ref="I249" ca="1">IF(INDIRECT("'"&amp;B249&amp;"'!D"&amp;C249)=0,"",INDIRECT("'"&amp;B249&amp;"'!D"&amp;C249))</f>
        <v>x</v>
      </c>
      <c r="J249" s="215" t="str" cm="1">
        <f t="array" aca="1" ref="J249" ca="1">IF(INDIRECT("'"&amp;B249&amp;"'!E"&amp;C249)=0,"",INDIRECT("'"&amp;B249&amp;"'!E"&amp;C249))</f>
        <v/>
      </c>
      <c r="K249" s="253" t="str" cm="1">
        <f t="array" aca="1" ref="K249" ca="1">IF(INDIRECT("'"&amp;B249&amp;"'!F"&amp;C249)=0,"N/A",INDIRECT("'"&amp;B249&amp;"'!F"&amp;C249))</f>
        <v>12.2.2</v>
      </c>
      <c r="L249" s="253" t="str" cm="1">
        <f t="array" aca="1" ref="L249" ca="1">IF(INDIRECT("'"&amp;B249&amp;"'!G"&amp;C249)=0,"N/A",INDIRECT("'"&amp;B249&amp;"'!G"&amp;C249))</f>
        <v>1(2)</v>
      </c>
      <c r="M249" s="253" t="str" cm="1">
        <f t="array" aca="1" ref="M249" ca="1">IF(INDIRECT("'"&amp;B249&amp;"'!H"&amp;C249)=0,"N/A",INDIRECT("'"&amp;B249&amp;"'!H"&amp;C249))</f>
        <v>12.2.2 #1(2)</v>
      </c>
      <c r="N249" s="221" t="str" cm="1">
        <f t="array" aca="1" ref="N249" ca="1">IF(INDIRECT("'"&amp;B249&amp;"'!I"&amp;C249)=0,"N/A",INDIRECT("'"&amp;B249&amp;"'!I"&amp;C249))</f>
        <v xml:space="preserve">มีการวิเคราะห์ผลกระทบที่เกิดจากการหยุดชะงักของระบบ IT เพื่อกำหนดระยะเวลา RTO, RPO และ MTD โดยมีระยะเวลา RTO สอดคล้องตามข้อกำหนด  ดังนี้
    (1) RTO ไม่ควรเกิน 2 ชั่วโมง สำหรับระบบ IT ที่สนับสนุนกระบวนการทางธุรกิจที่สำคัญของหน่วยงานโครงสร้างพื้นฐานที่สำคัญทางสารสนเทศ (critical information infrastructure organization หรือ CII organization)
    (2) RTO ไม่ควรเกิน 4 ชั่วโมง สำหรับระบบ IT ที่สนับสนุนกระบวนการทางธุรกิจที่สำคัญของหน่วยงานอื่น ๆ 
ทั้งนี้ กรณีที่ไม่สามารถจัดให้มีระบบ IT ที่รองรับ RTO ที่กำหนดข้างต้น ต้องจัดให้มีวิธีการให้บริการแบบ manual ทดแทนได้ โดยวิธีการดังกล่าวต้องไม่ส่งผลต่อประสิทธิภาพการให้บริการอย่างมีนัยสำคัญ </v>
      </c>
      <c r="O249" s="533" t="str" cm="1">
        <f t="array" aca="1" ref="O249" ca="1">IF(INDIRECT("'"&amp;B249&amp;"'!N"&amp;C249)=0,"N/A",INDIRECT("'"&amp;B249&amp;"'!N"&amp;C249))</f>
        <v>Yes/Partial/No</v>
      </c>
      <c r="P249" s="527" t="str" cm="1">
        <f t="array" aca="1" ref="P249" ca="1">IF(INDIRECT("'"&amp;B249&amp;"'!L"&amp;C249)=0,"",INDIRECT("'"&amp;B249&amp;"'!L"&amp;C249))</f>
        <v/>
      </c>
      <c r="Q249" s="527" t="str">
        <f t="shared" ca="1" si="25"/>
        <v/>
      </c>
      <c r="R249" s="563" t="str">
        <f t="shared" ca="1" si="24"/>
        <v>Yes</v>
      </c>
      <c r="S249" s="528" t="s">
        <v>1572</v>
      </c>
      <c r="T249" s="529" t="str">
        <f t="shared" si="26"/>
        <v>X</v>
      </c>
      <c r="U249" s="529" t="str">
        <f t="shared" si="27"/>
        <v/>
      </c>
      <c r="V249" s="529" t="str">
        <f t="shared" si="28"/>
        <v/>
      </c>
      <c r="W249" s="529" t="str">
        <f t="shared" si="29"/>
        <v/>
      </c>
      <c r="X249" s="529" t="str">
        <f t="shared" si="30"/>
        <v/>
      </c>
      <c r="Y249" s="529" t="str">
        <f t="shared" si="31"/>
        <v/>
      </c>
    </row>
    <row r="250" spans="1:25" ht="25.05" x14ac:dyDescent="0.2">
      <c r="A250" s="253" t="s">
        <v>1427</v>
      </c>
      <c r="B250" s="253" t="s">
        <v>1638</v>
      </c>
      <c r="C250" s="253">
        <v>8</v>
      </c>
      <c r="D250" s="253" t="s">
        <v>1579</v>
      </c>
      <c r="E250" s="534">
        <v>2.12</v>
      </c>
      <c r="F250" s="253" t="s">
        <v>1571</v>
      </c>
      <c r="G250" s="215" t="str" cm="1">
        <f t="array" aca="1" ref="G250" ca="1">IF(INDIRECT("'"&amp;B250&amp;"'!B"&amp;C250)=0,"",INDIRECT("'"&amp;B250&amp;"'!B"&amp;C250))</f>
        <v>x</v>
      </c>
      <c r="H250" s="215" t="str" cm="1">
        <f t="array" aca="1" ref="H250" ca="1">IF(INDIRECT("'"&amp;B250&amp;"'!C"&amp;C250)=0,"",INDIRECT("'"&amp;B250&amp;"'!C"&amp;C250))</f>
        <v>x</v>
      </c>
      <c r="I250" s="215" t="str" cm="1">
        <f t="array" aca="1" ref="I250" ca="1">IF(INDIRECT("'"&amp;B250&amp;"'!D"&amp;C250)=0,"",INDIRECT("'"&amp;B250&amp;"'!D"&amp;C250))</f>
        <v>x</v>
      </c>
      <c r="J250" s="215" t="str" cm="1">
        <f t="array" aca="1" ref="J250" ca="1">IF(INDIRECT("'"&amp;B250&amp;"'!E"&amp;C250)=0,"",INDIRECT("'"&amp;B250&amp;"'!E"&amp;C250))</f>
        <v/>
      </c>
      <c r="K250" s="253" t="str" cm="1">
        <f t="array" aca="1" ref="K250" ca="1">IF(INDIRECT("'"&amp;B250&amp;"'!F"&amp;C250)=0,"N/A",INDIRECT("'"&amp;B250&amp;"'!F"&amp;C250))</f>
        <v>12.2.2</v>
      </c>
      <c r="L250" s="253" t="str" cm="1">
        <f t="array" aca="1" ref="L250" ca="1">IF(INDIRECT("'"&amp;B250&amp;"'!G"&amp;C250)=0,"N/A",INDIRECT("'"&amp;B250&amp;"'!G"&amp;C250))</f>
        <v>1(3)</v>
      </c>
      <c r="M250" s="253" t="str" cm="1">
        <f t="array" aca="1" ref="M250" ca="1">IF(INDIRECT("'"&amp;B250&amp;"'!H"&amp;C250)=0,"N/A",INDIRECT("'"&amp;B250&amp;"'!H"&amp;C250))</f>
        <v>12.2.2 #1(3)</v>
      </c>
      <c r="N250" s="221" t="str" cm="1">
        <f t="array" aca="1" ref="N250" ca="1">IF(INDIRECT("'"&amp;B250&amp;"'!I"&amp;C250)=0,"N/A",INDIRECT("'"&amp;B250&amp;"'!I"&amp;C250))</f>
        <v>มีการระบุระบบ IT และทรัพยากรที่จำเป็นต่อกระบวนทางธุรกิจที่สำคัญ (ฮาร์ดแวร์ ซอฟต์แวร์ ข้อมูล และทรัพยากรอื่น ๆ) พร้อมทั้งรายละเอียดคุณสมบัติ (specification) ขั้นต่ำของระบบ IT และทรัพยากรดังกล่าว</v>
      </c>
      <c r="O250" s="533" t="str" cm="1">
        <f t="array" aca="1" ref="O250" ca="1">IF(INDIRECT("'"&amp;B250&amp;"'!N"&amp;C250)=0,"N/A",INDIRECT("'"&amp;B250&amp;"'!N"&amp;C250))</f>
        <v>Maturity</v>
      </c>
      <c r="P250" s="527" t="str" cm="1">
        <f t="array" aca="1" ref="P250" ca="1">IF(INDIRECT("'"&amp;B250&amp;"'!L"&amp;C250)=0,"",INDIRECT("'"&amp;B250&amp;"'!L"&amp;C250))</f>
        <v/>
      </c>
      <c r="Q250" s="527" t="str">
        <f t="shared" ca="1" si="25"/>
        <v/>
      </c>
      <c r="R250" s="563" t="str">
        <f t="shared" ca="1" si="24"/>
        <v>Yes</v>
      </c>
      <c r="S250" s="528" t="s">
        <v>1572</v>
      </c>
      <c r="T250" s="529" t="str">
        <f t="shared" si="26"/>
        <v>X</v>
      </c>
      <c r="U250" s="529" t="str">
        <f t="shared" si="27"/>
        <v/>
      </c>
      <c r="V250" s="529" t="str">
        <f t="shared" si="28"/>
        <v/>
      </c>
      <c r="W250" s="529" t="str">
        <f t="shared" si="29"/>
        <v/>
      </c>
      <c r="X250" s="529" t="str">
        <f t="shared" si="30"/>
        <v/>
      </c>
      <c r="Y250" s="529" t="str">
        <f t="shared" si="31"/>
        <v/>
      </c>
    </row>
    <row r="251" spans="1:25" ht="25.05" x14ac:dyDescent="0.2">
      <c r="A251" s="253" t="s">
        <v>1436</v>
      </c>
      <c r="B251" s="253" t="s">
        <v>1638</v>
      </c>
      <c r="C251" s="253">
        <v>9</v>
      </c>
      <c r="D251" s="253" t="s">
        <v>1579</v>
      </c>
      <c r="E251" s="534">
        <v>2.12</v>
      </c>
      <c r="F251" s="253" t="s">
        <v>1571</v>
      </c>
      <c r="G251" s="215" t="str" cm="1">
        <f t="array" aca="1" ref="G251" ca="1">IF(INDIRECT("'"&amp;B251&amp;"'!B"&amp;C251)=0,"",INDIRECT("'"&amp;B251&amp;"'!B"&amp;C251))</f>
        <v>x</v>
      </c>
      <c r="H251" s="215" t="str" cm="1">
        <f t="array" aca="1" ref="H251" ca="1">IF(INDIRECT("'"&amp;B251&amp;"'!C"&amp;C251)=0,"",INDIRECT("'"&amp;B251&amp;"'!C"&amp;C251))</f>
        <v>x</v>
      </c>
      <c r="I251" s="215" t="str" cm="1">
        <f t="array" aca="1" ref="I251" ca="1">IF(INDIRECT("'"&amp;B251&amp;"'!D"&amp;C251)=0,"",INDIRECT("'"&amp;B251&amp;"'!D"&amp;C251))</f>
        <v>x</v>
      </c>
      <c r="J251" s="215" t="str" cm="1">
        <f t="array" aca="1" ref="J251" ca="1">IF(INDIRECT("'"&amp;B251&amp;"'!E"&amp;C251)=0,"",INDIRECT("'"&amp;B251&amp;"'!E"&amp;C251))</f>
        <v/>
      </c>
      <c r="K251" s="253" t="str" cm="1">
        <f t="array" aca="1" ref="K251" ca="1">IF(INDIRECT("'"&amp;B251&amp;"'!F"&amp;C251)=0,"N/A",INDIRECT("'"&amp;B251&amp;"'!F"&amp;C251))</f>
        <v>12.2.2</v>
      </c>
      <c r="L251" s="253" t="str" cm="1">
        <f t="array" aca="1" ref="L251" ca="1">IF(INDIRECT("'"&amp;B251&amp;"'!G"&amp;C251)=0,"N/A",INDIRECT("'"&amp;B251&amp;"'!G"&amp;C251))</f>
        <v>1(4)</v>
      </c>
      <c r="M251" s="253" t="str" cm="1">
        <f t="array" aca="1" ref="M251" ca="1">IF(INDIRECT("'"&amp;B251&amp;"'!H"&amp;C251)=0,"N/A",INDIRECT("'"&amp;B251&amp;"'!H"&amp;C251))</f>
        <v>12.2.2 #1(4)</v>
      </c>
      <c r="N251" s="221" t="str" cm="1">
        <f t="array" aca="1" ref="N251" ca="1">IF(INDIRECT("'"&amp;B251&amp;"'!I"&amp;C251)=0,"N/A",INDIRECT("'"&amp;B251&amp;"'!I"&amp;C251))</f>
        <v>มีการจัดลำดับความสำคัญของระบบ IT เพื่อให้ระบบ IT ที่สนับสนุนกระบวนการทางธุรกิจที่สำคัญสูงได้รับการกู้คืนเป็นลำดับแรก</v>
      </c>
      <c r="O251" s="533" t="str" cm="1">
        <f t="array" aca="1" ref="O251" ca="1">IF(INDIRECT("'"&amp;B251&amp;"'!N"&amp;C251)=0,"N/A",INDIRECT("'"&amp;B251&amp;"'!N"&amp;C251))</f>
        <v>Maturity</v>
      </c>
      <c r="P251" s="527" t="str" cm="1">
        <f t="array" aca="1" ref="P251" ca="1">IF(INDIRECT("'"&amp;B251&amp;"'!L"&amp;C251)=0,"",INDIRECT("'"&amp;B251&amp;"'!L"&amp;C251))</f>
        <v/>
      </c>
      <c r="Q251" s="527" t="str">
        <f t="shared" ca="1" si="25"/>
        <v/>
      </c>
      <c r="R251" s="563" t="str">
        <f t="shared" ca="1" si="24"/>
        <v>Yes</v>
      </c>
      <c r="S251" s="528" t="s">
        <v>1639</v>
      </c>
      <c r="T251" s="529" t="str">
        <f t="shared" si="26"/>
        <v/>
      </c>
      <c r="U251" s="529" t="str">
        <f t="shared" si="27"/>
        <v/>
      </c>
      <c r="V251" s="529" t="str">
        <f t="shared" si="28"/>
        <v/>
      </c>
      <c r="W251" s="529" t="str">
        <f t="shared" si="29"/>
        <v/>
      </c>
      <c r="X251" s="529" t="str">
        <f t="shared" si="30"/>
        <v/>
      </c>
      <c r="Y251" s="529" t="str">
        <f t="shared" si="31"/>
        <v>X</v>
      </c>
    </row>
    <row r="252" spans="1:25" ht="25.05" x14ac:dyDescent="0.2">
      <c r="A252" s="253" t="s">
        <v>1445</v>
      </c>
      <c r="B252" s="253" t="s">
        <v>1638</v>
      </c>
      <c r="C252" s="253">
        <v>10</v>
      </c>
      <c r="D252" s="253" t="s">
        <v>1579</v>
      </c>
      <c r="E252" s="534">
        <v>2.12</v>
      </c>
      <c r="F252" s="253" t="s">
        <v>1571</v>
      </c>
      <c r="G252" s="215" t="str" cm="1">
        <f t="array" aca="1" ref="G252" ca="1">IF(INDIRECT("'"&amp;B252&amp;"'!B"&amp;C252)=0,"",INDIRECT("'"&amp;B252&amp;"'!B"&amp;C252))</f>
        <v>x</v>
      </c>
      <c r="H252" s="215" t="str" cm="1">
        <f t="array" aca="1" ref="H252" ca="1">IF(INDIRECT("'"&amp;B252&amp;"'!C"&amp;C252)=0,"",INDIRECT("'"&amp;B252&amp;"'!C"&amp;C252))</f>
        <v>x</v>
      </c>
      <c r="I252" s="215" t="str" cm="1">
        <f t="array" aca="1" ref="I252" ca="1">IF(INDIRECT("'"&amp;B252&amp;"'!D"&amp;C252)=0,"",INDIRECT("'"&amp;B252&amp;"'!D"&amp;C252))</f>
        <v>x</v>
      </c>
      <c r="J252" s="215" t="str" cm="1">
        <f t="array" aca="1" ref="J252" ca="1">IF(INDIRECT("'"&amp;B252&amp;"'!E"&amp;C252)=0,"",INDIRECT("'"&amp;B252&amp;"'!E"&amp;C252))</f>
        <v/>
      </c>
      <c r="K252" s="253" t="str" cm="1">
        <f t="array" aca="1" ref="K252" ca="1">IF(INDIRECT("'"&amp;B252&amp;"'!F"&amp;C252)=0,"N/A",INDIRECT("'"&amp;B252&amp;"'!F"&amp;C252))</f>
        <v>12.2.3</v>
      </c>
      <c r="L252" s="253" cm="1">
        <f t="array" aca="1" ref="L252" ca="1">IF(INDIRECT("'"&amp;B252&amp;"'!G"&amp;C252)=0,"N/A",INDIRECT("'"&amp;B252&amp;"'!G"&amp;C252))</f>
        <v>1</v>
      </c>
      <c r="M252" s="253" t="str" cm="1">
        <f t="array" aca="1" ref="M252" ca="1">IF(INDIRECT("'"&amp;B252&amp;"'!H"&amp;C252)=0,"N/A",INDIRECT("'"&amp;B252&amp;"'!H"&amp;C252))</f>
        <v>12.2.3 #1</v>
      </c>
      <c r="N252" s="221" t="str" cm="1">
        <f t="array" aca="1" ref="N252" ca="1">IF(INDIRECT("'"&amp;B252&amp;"'!I"&amp;C252)=0,"N/A",INDIRECT("'"&amp;B252&amp;"'!I"&amp;C252))</f>
        <v xml:space="preserve">มีการจัดทำแผนฉุกเฉินด้าน IT อย่างเป็น ลายลักษณ์อักษร และได้รับความเห็นชอบจากคณะกรรมการของผู้ประกอบธุรกิจหรือคณะกรรมการที่ได้รับมอบหมายจากคณะกรรมการของผู้ประกอบธุรกิจ </v>
      </c>
      <c r="O252" s="533" t="str" cm="1">
        <f t="array" aca="1" ref="O252" ca="1">IF(INDIRECT("'"&amp;B252&amp;"'!N"&amp;C252)=0,"N/A",INDIRECT("'"&amp;B252&amp;"'!N"&amp;C252))</f>
        <v>Yes/Partial/No</v>
      </c>
      <c r="P252" s="527" t="str" cm="1">
        <f t="array" aca="1" ref="P252" ca="1">IF(INDIRECT("'"&amp;B252&amp;"'!L"&amp;C252)=0,"",INDIRECT("'"&amp;B252&amp;"'!L"&amp;C252))</f>
        <v/>
      </c>
      <c r="Q252" s="527" t="str">
        <f t="shared" ca="1" si="25"/>
        <v/>
      </c>
      <c r="R252" s="563" t="str">
        <f t="shared" ca="1" si="24"/>
        <v>Yes</v>
      </c>
      <c r="S252" s="528" t="s">
        <v>1640</v>
      </c>
      <c r="T252" s="529" t="str">
        <f t="shared" si="26"/>
        <v>X</v>
      </c>
      <c r="U252" s="529" t="str">
        <f t="shared" si="27"/>
        <v/>
      </c>
      <c r="V252" s="529" t="str">
        <f t="shared" si="28"/>
        <v/>
      </c>
      <c r="W252" s="529" t="str">
        <f t="shared" si="29"/>
        <v/>
      </c>
      <c r="X252" s="529" t="str">
        <f t="shared" si="30"/>
        <v/>
      </c>
      <c r="Y252" s="529" t="str">
        <f t="shared" si="31"/>
        <v>X</v>
      </c>
    </row>
    <row r="253" spans="1:25" x14ac:dyDescent="0.2">
      <c r="A253" s="253" t="s">
        <v>1450</v>
      </c>
      <c r="B253" s="253" t="s">
        <v>1638</v>
      </c>
      <c r="C253" s="253">
        <v>11</v>
      </c>
      <c r="D253" s="253" t="s">
        <v>1579</v>
      </c>
      <c r="E253" s="534">
        <v>2.12</v>
      </c>
      <c r="F253" s="253" t="s">
        <v>1571</v>
      </c>
      <c r="G253" s="215" t="str" cm="1">
        <f t="array" aca="1" ref="G253" ca="1">IF(INDIRECT("'"&amp;B253&amp;"'!B"&amp;C253)=0,"",INDIRECT("'"&amp;B253&amp;"'!B"&amp;C253))</f>
        <v>x</v>
      </c>
      <c r="H253" s="215" t="str" cm="1">
        <f t="array" aca="1" ref="H253" ca="1">IF(INDIRECT("'"&amp;B253&amp;"'!C"&amp;C253)=0,"",INDIRECT("'"&amp;B253&amp;"'!C"&amp;C253))</f>
        <v>x</v>
      </c>
      <c r="I253" s="215" t="str" cm="1">
        <f t="array" aca="1" ref="I253" ca="1">IF(INDIRECT("'"&amp;B253&amp;"'!D"&amp;C253)=0,"",INDIRECT("'"&amp;B253&amp;"'!D"&amp;C253))</f>
        <v>x</v>
      </c>
      <c r="J253" s="215" t="str" cm="1">
        <f t="array" aca="1" ref="J253" ca="1">IF(INDIRECT("'"&amp;B253&amp;"'!E"&amp;C253)=0,"",INDIRECT("'"&amp;B253&amp;"'!E"&amp;C253))</f>
        <v/>
      </c>
      <c r="K253" s="253" t="str" cm="1">
        <f t="array" aca="1" ref="K253" ca="1">IF(INDIRECT("'"&amp;B253&amp;"'!F"&amp;C253)=0,"N/A",INDIRECT("'"&amp;B253&amp;"'!F"&amp;C253))</f>
        <v>12.2.3</v>
      </c>
      <c r="L253" s="253" cm="1">
        <f t="array" aca="1" ref="L253" ca="1">IF(INDIRECT("'"&amp;B253&amp;"'!G"&amp;C253)=0,"N/A",INDIRECT("'"&amp;B253&amp;"'!G"&amp;C253))</f>
        <v>2</v>
      </c>
      <c r="M253" s="253" t="str" cm="1">
        <f t="array" aca="1" ref="M253" ca="1">IF(INDIRECT("'"&amp;B253&amp;"'!H"&amp;C253)=0,"N/A",INDIRECT("'"&amp;B253&amp;"'!H"&amp;C253))</f>
        <v>12.2.3 #2</v>
      </c>
      <c r="N253" s="221" t="str" cm="1">
        <f t="array" aca="1" ref="N253" ca="1">IF(INDIRECT("'"&amp;B253&amp;"'!I"&amp;C253)=0,"N/A",INDIRECT("'"&amp;B253&amp;"'!I"&amp;C253))</f>
        <v>มีการกำหนดบุคลากรและช่องทางการติดต่อ เพื่อใช้ในการสื่อสารกรณีเกิดภาวะวิกฤตหรือมีเหตุจำเป็นเร่งด่วน</v>
      </c>
      <c r="O253" s="533" t="str" cm="1">
        <f t="array" aca="1" ref="O253" ca="1">IF(INDIRECT("'"&amp;B253&amp;"'!N"&amp;C253)=0,"N/A",INDIRECT("'"&amp;B253&amp;"'!N"&amp;C253))</f>
        <v>Yes/Partial/No</v>
      </c>
      <c r="P253" s="527" t="str" cm="1">
        <f t="array" aca="1" ref="P253" ca="1">IF(INDIRECT("'"&amp;B253&amp;"'!L"&amp;C253)=0,"",INDIRECT("'"&amp;B253&amp;"'!L"&amp;C253))</f>
        <v/>
      </c>
      <c r="Q253" s="527" t="str">
        <f t="shared" ca="1" si="25"/>
        <v/>
      </c>
      <c r="R253" s="563" t="str">
        <f t="shared" ca="1" si="24"/>
        <v>Yes</v>
      </c>
      <c r="S253" s="528" t="s">
        <v>1572</v>
      </c>
      <c r="T253" s="529" t="str">
        <f t="shared" si="26"/>
        <v>X</v>
      </c>
      <c r="U253" s="529" t="str">
        <f t="shared" si="27"/>
        <v/>
      </c>
      <c r="V253" s="529" t="str">
        <f t="shared" si="28"/>
        <v/>
      </c>
      <c r="W253" s="529" t="str">
        <f t="shared" si="29"/>
        <v/>
      </c>
      <c r="X253" s="529" t="str">
        <f t="shared" si="30"/>
        <v/>
      </c>
      <c r="Y253" s="529" t="str">
        <f t="shared" si="31"/>
        <v/>
      </c>
    </row>
    <row r="254" spans="1:25" x14ac:dyDescent="0.2">
      <c r="A254" s="253" t="s">
        <v>1454</v>
      </c>
      <c r="B254" s="253" t="s">
        <v>1638</v>
      </c>
      <c r="C254" s="253">
        <v>12</v>
      </c>
      <c r="D254" s="253" t="s">
        <v>1579</v>
      </c>
      <c r="E254" s="534">
        <v>2.12</v>
      </c>
      <c r="F254" s="253" t="s">
        <v>1574</v>
      </c>
      <c r="G254" s="215" t="str" cm="1">
        <f t="array" aca="1" ref="G254" ca="1">IF(INDIRECT("'"&amp;B254&amp;"'!B"&amp;C254)=0,"",INDIRECT("'"&amp;B254&amp;"'!B"&amp;C254))</f>
        <v>x</v>
      </c>
      <c r="H254" s="215" t="str" cm="1">
        <f t="array" aca="1" ref="H254" ca="1">IF(INDIRECT("'"&amp;B254&amp;"'!C"&amp;C254)=0,"",INDIRECT("'"&amp;B254&amp;"'!C"&amp;C254))</f>
        <v/>
      </c>
      <c r="I254" s="215" t="str" cm="1">
        <f t="array" aca="1" ref="I254" ca="1">IF(INDIRECT("'"&amp;B254&amp;"'!D"&amp;C254)=0,"",INDIRECT("'"&amp;B254&amp;"'!D"&amp;C254))</f>
        <v/>
      </c>
      <c r="J254" s="215" t="str" cm="1">
        <f t="array" aca="1" ref="J254" ca="1">IF(INDIRECT("'"&amp;B254&amp;"'!E"&amp;C254)=0,"",INDIRECT("'"&amp;B254&amp;"'!E"&amp;C254))</f>
        <v/>
      </c>
      <c r="K254" s="253" t="str" cm="1">
        <f t="array" aca="1" ref="K254" ca="1">IF(INDIRECT("'"&amp;B254&amp;"'!F"&amp;C254)=0,"N/A",INDIRECT("'"&amp;B254&amp;"'!F"&amp;C254))</f>
        <v>12.2.3</v>
      </c>
      <c r="L254" s="253" cm="1">
        <f t="array" aca="1" ref="L254" ca="1">IF(INDIRECT("'"&amp;B254&amp;"'!G"&amp;C254)=0,"N/A",INDIRECT("'"&amp;B254&amp;"'!G"&amp;C254))</f>
        <v>3</v>
      </c>
      <c r="M254" s="253" t="str" cm="1">
        <f t="array" aca="1" ref="M254" ca="1">IF(INDIRECT("'"&amp;B254&amp;"'!H"&amp;C254)=0,"N/A",INDIRECT("'"&amp;B254&amp;"'!H"&amp;C254))</f>
        <v>12.2.3 #3</v>
      </c>
      <c r="N254" s="221" t="str" cm="1">
        <f t="array" aca="1" ref="N254" ca="1">IF(INDIRECT("'"&amp;B254&amp;"'!I"&amp;C254)=0,"N/A",INDIRECT("'"&amp;B254&amp;"'!I"&amp;C254))</f>
        <v>มีการพิจารณาและอนุมัติแผนฉุกเฉินด้าน IT โดยคณะกรรมการของผู้ประกอบธุรกิจ</v>
      </c>
      <c r="O254" s="533" t="str" cm="1">
        <f t="array" aca="1" ref="O254" ca="1">IF(INDIRECT("'"&amp;B254&amp;"'!N"&amp;C254)=0,"N/A",INDIRECT("'"&amp;B254&amp;"'!N"&amp;C254))</f>
        <v>Yes/Partial/No</v>
      </c>
      <c r="P254" s="527" t="str" cm="1">
        <f t="array" aca="1" ref="P254" ca="1">IF(INDIRECT("'"&amp;B254&amp;"'!L"&amp;C254)=0,"",INDIRECT("'"&amp;B254&amp;"'!L"&amp;C254))</f>
        <v/>
      </c>
      <c r="Q254" s="527" t="str">
        <f t="shared" ca="1" si="25"/>
        <v/>
      </c>
      <c r="R254" s="563" t="str">
        <f t="shared" ca="1" si="24"/>
        <v>Yes</v>
      </c>
      <c r="S254" s="528" t="s">
        <v>1572</v>
      </c>
      <c r="T254" s="529" t="str">
        <f t="shared" si="26"/>
        <v>X</v>
      </c>
      <c r="U254" s="529" t="str">
        <f t="shared" si="27"/>
        <v/>
      </c>
      <c r="V254" s="529" t="str">
        <f t="shared" si="28"/>
        <v/>
      </c>
      <c r="W254" s="529" t="str">
        <f t="shared" si="29"/>
        <v/>
      </c>
      <c r="X254" s="529" t="str">
        <f t="shared" si="30"/>
        <v/>
      </c>
      <c r="Y254" s="529" t="str">
        <f t="shared" si="31"/>
        <v/>
      </c>
    </row>
    <row r="255" spans="1:25" ht="37.6" x14ac:dyDescent="0.2">
      <c r="A255" s="253" t="s">
        <v>1458</v>
      </c>
      <c r="B255" s="253" t="s">
        <v>1638</v>
      </c>
      <c r="C255" s="253">
        <v>13</v>
      </c>
      <c r="D255" s="253" t="s">
        <v>1579</v>
      </c>
      <c r="E255" s="534">
        <v>2.12</v>
      </c>
      <c r="F255" s="253" t="s">
        <v>1571</v>
      </c>
      <c r="G255" s="215" t="str" cm="1">
        <f t="array" aca="1" ref="G255" ca="1">IF(INDIRECT("'"&amp;B255&amp;"'!B"&amp;C255)=0,"",INDIRECT("'"&amp;B255&amp;"'!B"&amp;C255))</f>
        <v>x</v>
      </c>
      <c r="H255" s="215" t="str" cm="1">
        <f t="array" aca="1" ref="H255" ca="1">IF(INDIRECT("'"&amp;B255&amp;"'!C"&amp;C255)=0,"",INDIRECT("'"&amp;B255&amp;"'!C"&amp;C255))</f>
        <v>x</v>
      </c>
      <c r="I255" s="215" t="str" cm="1">
        <f t="array" aca="1" ref="I255" ca="1">IF(INDIRECT("'"&amp;B255&amp;"'!D"&amp;C255)=0,"",INDIRECT("'"&amp;B255&amp;"'!D"&amp;C255))</f>
        <v>x</v>
      </c>
      <c r="J255" s="215" t="str" cm="1">
        <f t="array" aca="1" ref="J255" ca="1">IF(INDIRECT("'"&amp;B255&amp;"'!E"&amp;C255)=0,"",INDIRECT("'"&amp;B255&amp;"'!E"&amp;C255))</f>
        <v/>
      </c>
      <c r="K255" s="253" cm="1">
        <f t="array" aca="1" ref="K255" ca="1">IF(INDIRECT("'"&amp;B255&amp;"'!F"&amp;C255)=0,"N/A",INDIRECT("'"&amp;B255&amp;"'!F"&amp;C255))</f>
        <v>12.3</v>
      </c>
      <c r="L255" s="253" cm="1">
        <f t="array" aca="1" ref="L255" ca="1">IF(INDIRECT("'"&amp;B255&amp;"'!G"&amp;C255)=0,"N/A",INDIRECT("'"&amp;B255&amp;"'!G"&amp;C255))</f>
        <v>1</v>
      </c>
      <c r="M255" s="253" t="str" cm="1">
        <f t="array" aca="1" ref="M255" ca="1">IF(INDIRECT("'"&amp;B255&amp;"'!H"&amp;C255)=0,"N/A",INDIRECT("'"&amp;B255&amp;"'!H"&amp;C255))</f>
        <v>12.3 #1</v>
      </c>
      <c r="N255" s="221" t="str" cm="1">
        <f t="array" aca="1" ref="N255" ca="1">IF(INDIRECT("'"&amp;B255&amp;"'!I"&amp;C255)=0,"N/A",INDIRECT("'"&amp;B255&amp;"'!I"&amp;C255))</f>
        <v xml:space="preserve">มีการสำรองระบบ IT  และทรัพยากรที่จำเป็นเพื่อให้สามารถกู้คืนระบบ IT ได้ตามระยะเวลาเป้าหมายที่กำหนดไว้ ในกรณีที่มีศูนย์คอมพิวเตอร์สำรอง ควรระบุรายละเอียดเกี่ยวกับศูนย์คอมพิวเตอร์สำรองให้ชัดเจน เช่น ทรัพยากรที่มี สถานที่ตั้งและแผนที่ เป็นต้น </v>
      </c>
      <c r="O255" s="533" t="str" cm="1">
        <f t="array" aca="1" ref="O255" ca="1">IF(INDIRECT("'"&amp;B255&amp;"'!N"&amp;C255)=0,"N/A",INDIRECT("'"&amp;B255&amp;"'!N"&amp;C255))</f>
        <v>Yes/Partial/No</v>
      </c>
      <c r="P255" s="527" t="str" cm="1">
        <f t="array" aca="1" ref="P255" ca="1">IF(INDIRECT("'"&amp;B255&amp;"'!L"&amp;C255)=0,"",INDIRECT("'"&amp;B255&amp;"'!L"&amp;C255))</f>
        <v/>
      </c>
      <c r="Q255" s="527" t="str">
        <f t="shared" ca="1" si="25"/>
        <v/>
      </c>
      <c r="R255" s="563" t="str">
        <f t="shared" ca="1" si="24"/>
        <v>Yes</v>
      </c>
      <c r="S255" s="528" t="s">
        <v>1580</v>
      </c>
      <c r="T255" s="529" t="str">
        <f t="shared" si="26"/>
        <v/>
      </c>
      <c r="U255" s="529" t="str">
        <f t="shared" si="27"/>
        <v/>
      </c>
      <c r="V255" s="529" t="str">
        <f t="shared" si="28"/>
        <v>X</v>
      </c>
      <c r="W255" s="529" t="str">
        <f t="shared" si="29"/>
        <v/>
      </c>
      <c r="X255" s="529" t="str">
        <f t="shared" si="30"/>
        <v/>
      </c>
      <c r="Y255" s="529" t="str">
        <f t="shared" si="31"/>
        <v/>
      </c>
    </row>
    <row r="256" spans="1:25" ht="25.05" x14ac:dyDescent="0.2">
      <c r="A256" s="253" t="s">
        <v>1462</v>
      </c>
      <c r="B256" s="253" t="s">
        <v>1638</v>
      </c>
      <c r="C256" s="253">
        <v>14</v>
      </c>
      <c r="D256" s="253" t="s">
        <v>1579</v>
      </c>
      <c r="E256" s="534">
        <v>2.12</v>
      </c>
      <c r="F256" s="253" t="s">
        <v>1571</v>
      </c>
      <c r="G256" s="215" t="str" cm="1">
        <f t="array" aca="1" ref="G256" ca="1">IF(INDIRECT("'"&amp;B256&amp;"'!B"&amp;C256)=0,"",INDIRECT("'"&amp;B256&amp;"'!B"&amp;C256))</f>
        <v>x</v>
      </c>
      <c r="H256" s="215" t="str" cm="1">
        <f t="array" aca="1" ref="H256" ca="1">IF(INDIRECT("'"&amp;B256&amp;"'!C"&amp;C256)=0,"",INDIRECT("'"&amp;B256&amp;"'!C"&amp;C256))</f>
        <v>x</v>
      </c>
      <c r="I256" s="215" t="str" cm="1">
        <f t="array" aca="1" ref="I256" ca="1">IF(INDIRECT("'"&amp;B256&amp;"'!D"&amp;C256)=0,"",INDIRECT("'"&amp;B256&amp;"'!D"&amp;C256))</f>
        <v>x</v>
      </c>
      <c r="J256" s="215" t="str" cm="1">
        <f t="array" aca="1" ref="J256" ca="1">IF(INDIRECT("'"&amp;B256&amp;"'!E"&amp;C256)=0,"",INDIRECT("'"&amp;B256&amp;"'!E"&amp;C256))</f>
        <v/>
      </c>
      <c r="K256" s="253" cm="1">
        <f t="array" aca="1" ref="K256" ca="1">IF(INDIRECT("'"&amp;B256&amp;"'!F"&amp;C256)=0,"N/A",INDIRECT("'"&amp;B256&amp;"'!F"&amp;C256))</f>
        <v>12.4</v>
      </c>
      <c r="L256" s="253" cm="1">
        <f t="array" aca="1" ref="L256" ca="1">IF(INDIRECT("'"&amp;B256&amp;"'!G"&amp;C256)=0,"N/A",INDIRECT("'"&amp;B256&amp;"'!G"&amp;C256))</f>
        <v>1</v>
      </c>
      <c r="M256" s="253" t="str" cm="1">
        <f t="array" aca="1" ref="M256" ca="1">IF(INDIRECT("'"&amp;B256&amp;"'!H"&amp;C256)=0,"N/A",INDIRECT("'"&amp;B256&amp;"'!H"&amp;C256))</f>
        <v>12.4 #1</v>
      </c>
      <c r="N256" s="221" t="str" cm="1">
        <f t="array" aca="1" ref="N256" ca="1">IF(INDIRECT("'"&amp;B256&amp;"'!I"&amp;C256)=0,"N/A",INDIRECT("'"&amp;B256&amp;"'!I"&amp;C256))</f>
        <v>มีการสื่อสารแผนฉุกเฉินด้าน IT ให้พนักงานทุกคนที่มีส่วนเกี่ยวข้องกับการปฏิบัติตามแผนฉุกเฉินด้าน IT มีความเข้าใจ และสามารถปฏิบัติตามแผนได้อย่างถูกต้อง</v>
      </c>
      <c r="O256" s="533" t="str" cm="1">
        <f t="array" aca="1" ref="O256" ca="1">IF(INDIRECT("'"&amp;B256&amp;"'!N"&amp;C256)=0,"N/A",INDIRECT("'"&amp;B256&amp;"'!N"&amp;C256))</f>
        <v>Maturity</v>
      </c>
      <c r="P256" s="527" t="str" cm="1">
        <f t="array" aca="1" ref="P256" ca="1">IF(INDIRECT("'"&amp;B256&amp;"'!L"&amp;C256)=0,"",INDIRECT("'"&amp;B256&amp;"'!L"&amp;C256))</f>
        <v/>
      </c>
      <c r="Q256" s="527" t="str">
        <f t="shared" ca="1" si="25"/>
        <v/>
      </c>
      <c r="R256" s="563" t="str">
        <f t="shared" ca="1" si="24"/>
        <v>Yes</v>
      </c>
      <c r="S256" s="528" t="s">
        <v>1640</v>
      </c>
      <c r="T256" s="529" t="str">
        <f t="shared" si="26"/>
        <v>X</v>
      </c>
      <c r="U256" s="529" t="str">
        <f t="shared" si="27"/>
        <v/>
      </c>
      <c r="V256" s="529" t="str">
        <f t="shared" si="28"/>
        <v/>
      </c>
      <c r="W256" s="529" t="str">
        <f t="shared" si="29"/>
        <v/>
      </c>
      <c r="X256" s="529" t="str">
        <f t="shared" si="30"/>
        <v/>
      </c>
      <c r="Y256" s="529" t="str">
        <f t="shared" si="31"/>
        <v>X</v>
      </c>
    </row>
    <row r="257" spans="1:25" ht="50.1" x14ac:dyDescent="0.2">
      <c r="A257" s="253" t="s">
        <v>1471</v>
      </c>
      <c r="B257" s="253" t="s">
        <v>1638</v>
      </c>
      <c r="C257" s="253">
        <v>15</v>
      </c>
      <c r="D257" s="253" t="s">
        <v>1579</v>
      </c>
      <c r="E257" s="534">
        <v>2.12</v>
      </c>
      <c r="F257" s="253" t="s">
        <v>1571</v>
      </c>
      <c r="G257" s="215" t="str" cm="1">
        <f t="array" aca="1" ref="G257" ca="1">IF(INDIRECT("'"&amp;B257&amp;"'!B"&amp;C257)=0,"",INDIRECT("'"&amp;B257&amp;"'!B"&amp;C257))</f>
        <v>x</v>
      </c>
      <c r="H257" s="215" t="str" cm="1">
        <f t="array" aca="1" ref="H257" ca="1">IF(INDIRECT("'"&amp;B257&amp;"'!C"&amp;C257)=0,"",INDIRECT("'"&amp;B257&amp;"'!C"&amp;C257))</f>
        <v>x</v>
      </c>
      <c r="I257" s="215" t="str" cm="1">
        <f t="array" aca="1" ref="I257" ca="1">IF(INDIRECT("'"&amp;B257&amp;"'!D"&amp;C257)=0,"",INDIRECT("'"&amp;B257&amp;"'!D"&amp;C257))</f>
        <v>x</v>
      </c>
      <c r="J257" s="215" t="str" cm="1">
        <f t="array" aca="1" ref="J257" ca="1">IF(INDIRECT("'"&amp;B257&amp;"'!E"&amp;C257)=0,"",INDIRECT("'"&amp;B257&amp;"'!E"&amp;C257))</f>
        <v/>
      </c>
      <c r="K257" s="253" cm="1">
        <f t="array" aca="1" ref="K257" ca="1">IF(INDIRECT("'"&amp;B257&amp;"'!F"&amp;C257)=0,"N/A",INDIRECT("'"&amp;B257&amp;"'!F"&amp;C257))</f>
        <v>12.5</v>
      </c>
      <c r="L257" s="253" cm="1">
        <f t="array" aca="1" ref="L257" ca="1">IF(INDIRECT("'"&amp;B257&amp;"'!G"&amp;C257)=0,"N/A",INDIRECT("'"&amp;B257&amp;"'!G"&amp;C257))</f>
        <v>1</v>
      </c>
      <c r="M257" s="253" t="str" cm="1">
        <f t="array" aca="1" ref="M257" ca="1">IF(INDIRECT("'"&amp;B257&amp;"'!H"&amp;C257)=0,"N/A",INDIRECT("'"&amp;B257&amp;"'!H"&amp;C257))</f>
        <v>12.5 #1</v>
      </c>
      <c r="N257" s="221" t="str" cm="1">
        <f t="array" aca="1" ref="N257" ca="1">IF(INDIRECT("'"&amp;B257&amp;"'!I"&amp;C257)=0,"N/A",INDIRECT("'"&amp;B257&amp;"'!I"&amp;C257))</f>
        <v>มีการทบทวน (review) และทดสอบ (test) การปฏิบัติตามแผนฉุกเฉินด้าน IT อย่างน้อยปีละ 1 ครั้ง และเมื่อมีเหตุจำเป็นที่ควรได้รับการทบทวนและทดสอบดังกล่าว เช่น มีการเปลี่ยนแปลงกลยุทธ์ทางธุรกิจ นโยบายการบริหารความเสี่ยงโดยรวม สภาพแวดล้อมของการให้บริการหรือดำเนินธุรกิจ ทรัพยากร หรือโครงสร้างระบบ IT เป็นต้น</v>
      </c>
      <c r="O257" s="533" t="str" cm="1">
        <f t="array" aca="1" ref="O257" ca="1">IF(INDIRECT("'"&amp;B257&amp;"'!N"&amp;C257)=0,"N/A",INDIRECT("'"&amp;B257&amp;"'!N"&amp;C257))</f>
        <v>Yes/Partial/No</v>
      </c>
      <c r="P257" s="527" t="str" cm="1">
        <f t="array" aca="1" ref="P257" ca="1">IF(INDIRECT("'"&amp;B257&amp;"'!L"&amp;C257)=0,"",INDIRECT("'"&amp;B257&amp;"'!L"&amp;C257))</f>
        <v/>
      </c>
      <c r="Q257" s="527" t="str">
        <f t="shared" ca="1" si="25"/>
        <v/>
      </c>
      <c r="R257" s="563" t="str">
        <f t="shared" ca="1" si="24"/>
        <v>Yes</v>
      </c>
      <c r="S257" s="528" t="s">
        <v>1641</v>
      </c>
      <c r="T257" s="529" t="str">
        <f t="shared" si="26"/>
        <v/>
      </c>
      <c r="U257" s="529" t="str">
        <f t="shared" si="27"/>
        <v>X</v>
      </c>
      <c r="V257" s="529" t="str">
        <f t="shared" si="28"/>
        <v>X</v>
      </c>
      <c r="W257" s="529" t="str">
        <f t="shared" si="29"/>
        <v/>
      </c>
      <c r="X257" s="529" t="str">
        <f t="shared" si="30"/>
        <v/>
      </c>
      <c r="Y257" s="529" t="str">
        <f t="shared" si="31"/>
        <v/>
      </c>
    </row>
    <row r="258" spans="1:25" ht="50.1" x14ac:dyDescent="0.2">
      <c r="A258" s="253" t="s">
        <v>1475</v>
      </c>
      <c r="B258" s="253" t="s">
        <v>1638</v>
      </c>
      <c r="C258" s="253">
        <v>16</v>
      </c>
      <c r="D258" s="253" t="s">
        <v>1579</v>
      </c>
      <c r="E258" s="534">
        <v>2.12</v>
      </c>
      <c r="F258" s="253" t="s">
        <v>1571</v>
      </c>
      <c r="G258" s="215" t="str" cm="1">
        <f t="array" aca="1" ref="G258" ca="1">IF(INDIRECT("'"&amp;B258&amp;"'!B"&amp;C258)=0,"",INDIRECT("'"&amp;B258&amp;"'!B"&amp;C258))</f>
        <v>x</v>
      </c>
      <c r="H258" s="215" t="str" cm="1">
        <f t="array" aca="1" ref="H258" ca="1">IF(INDIRECT("'"&amp;B258&amp;"'!C"&amp;C258)=0,"",INDIRECT("'"&amp;B258&amp;"'!C"&amp;C258))</f>
        <v>x</v>
      </c>
      <c r="I258" s="215" t="str" cm="1">
        <f t="array" aca="1" ref="I258" ca="1">IF(INDIRECT("'"&amp;B258&amp;"'!D"&amp;C258)=0,"",INDIRECT("'"&amp;B258&amp;"'!D"&amp;C258))</f>
        <v>x</v>
      </c>
      <c r="J258" s="215" t="str" cm="1">
        <f t="array" aca="1" ref="J258" ca="1">IF(INDIRECT("'"&amp;B258&amp;"'!E"&amp;C258)=0,"",INDIRECT("'"&amp;B258&amp;"'!E"&amp;C258))</f>
        <v/>
      </c>
      <c r="K258" s="253" cm="1">
        <f t="array" aca="1" ref="K258" ca="1">IF(INDIRECT("'"&amp;B258&amp;"'!F"&amp;C258)=0,"N/A",INDIRECT("'"&amp;B258&amp;"'!F"&amp;C258))</f>
        <v>12.5</v>
      </c>
      <c r="L258" s="253" cm="1">
        <f t="array" aca="1" ref="L258" ca="1">IF(INDIRECT("'"&amp;B258&amp;"'!G"&amp;C258)=0,"N/A",INDIRECT("'"&amp;B258&amp;"'!G"&amp;C258))</f>
        <v>2</v>
      </c>
      <c r="M258" s="253" t="str" cm="1">
        <f t="array" aca="1" ref="M258" ca="1">IF(INDIRECT("'"&amp;B258&amp;"'!H"&amp;C258)=0,"N/A",INDIRECT("'"&amp;B258&amp;"'!H"&amp;C258))</f>
        <v>12.5 #2</v>
      </c>
      <c r="N258" s="221" t="str" cm="1">
        <f t="array" aca="1" ref="N258" ca="1">IF(INDIRECT("'"&amp;B258&amp;"'!I"&amp;C258)=0,"N/A",INDIRECT("'"&amp;B258&amp;"'!I"&amp;C258))</f>
        <v>มีการกำหนดเหตุการณ์ที่ใช้ในการทดสอบประจำปี (test scenario) โดยเป็นเหตุการณ์ที่มีโอกาสที่จะเกิดขึ้นและอาจส่งผลกระทบให้กระบวนการทางธุรกิจที่สำคัญหยุดชะงัก เช่น การหยุดชะงักของระบบ IT ที่สนับสนุนกระบวนการทางธุรกิจที่สำคัญ การหยุดชะงักของผู้ให้บริการภายนอกที่สำคัญ (รวมถึงผู้ให้บริการคลาวด์) และการโจมตีทางไซเบอร์ เป็นต้น</v>
      </c>
      <c r="O258" s="533" t="str" cm="1">
        <f t="array" aca="1" ref="O258" ca="1">IF(INDIRECT("'"&amp;B258&amp;"'!N"&amp;C258)=0,"N/A",INDIRECT("'"&amp;B258&amp;"'!N"&amp;C258))</f>
        <v>Yes/Partial/No</v>
      </c>
      <c r="P258" s="527" t="str" cm="1">
        <f t="array" aca="1" ref="P258" ca="1">IF(INDIRECT("'"&amp;B258&amp;"'!L"&amp;C258)=0,"",INDIRECT("'"&amp;B258&amp;"'!L"&amp;C258))</f>
        <v/>
      </c>
      <c r="Q258" s="527" t="str">
        <f t="shared" ca="1" si="25"/>
        <v/>
      </c>
      <c r="R258" s="563" t="str">
        <f t="shared" ca="1" si="24"/>
        <v>Yes</v>
      </c>
      <c r="S258" s="528" t="s">
        <v>1575</v>
      </c>
      <c r="T258" s="529" t="str">
        <f t="shared" si="26"/>
        <v/>
      </c>
      <c r="U258" s="529" t="str">
        <f t="shared" si="27"/>
        <v>X</v>
      </c>
      <c r="V258" s="529" t="str">
        <f t="shared" si="28"/>
        <v/>
      </c>
      <c r="W258" s="529" t="str">
        <f t="shared" si="29"/>
        <v/>
      </c>
      <c r="X258" s="529" t="str">
        <f t="shared" si="30"/>
        <v/>
      </c>
      <c r="Y258" s="529" t="str">
        <f t="shared" si="31"/>
        <v/>
      </c>
    </row>
    <row r="259" spans="1:25" ht="50.1" x14ac:dyDescent="0.2">
      <c r="A259" s="253" t="s">
        <v>1479</v>
      </c>
      <c r="B259" s="253" t="s">
        <v>1638</v>
      </c>
      <c r="C259" s="253">
        <v>17</v>
      </c>
      <c r="D259" s="253" t="s">
        <v>1579</v>
      </c>
      <c r="E259" s="534">
        <v>2.12</v>
      </c>
      <c r="F259" s="253" t="s">
        <v>1571</v>
      </c>
      <c r="G259" s="215" t="str" cm="1">
        <f t="array" aca="1" ref="G259" ca="1">IF(INDIRECT("'"&amp;B259&amp;"'!B"&amp;C259)=0,"",INDIRECT("'"&amp;B259&amp;"'!B"&amp;C259))</f>
        <v>x</v>
      </c>
      <c r="H259" s="215" t="str" cm="1">
        <f t="array" aca="1" ref="H259" ca="1">IF(INDIRECT("'"&amp;B259&amp;"'!C"&amp;C259)=0,"",INDIRECT("'"&amp;B259&amp;"'!C"&amp;C259))</f>
        <v>x</v>
      </c>
      <c r="I259" s="215" t="str" cm="1">
        <f t="array" aca="1" ref="I259" ca="1">IF(INDIRECT("'"&amp;B259&amp;"'!D"&amp;C259)=0,"",INDIRECT("'"&amp;B259&amp;"'!D"&amp;C259))</f>
        <v>x</v>
      </c>
      <c r="J259" s="215" t="str" cm="1">
        <f t="array" aca="1" ref="J259" ca="1">IF(INDIRECT("'"&amp;B259&amp;"'!E"&amp;C259)=0,"",INDIRECT("'"&amp;B259&amp;"'!E"&amp;C259))</f>
        <v/>
      </c>
      <c r="K259" s="253" cm="1">
        <f t="array" aca="1" ref="K259" ca="1">IF(INDIRECT("'"&amp;B259&amp;"'!F"&amp;C259)=0,"N/A",INDIRECT("'"&amp;B259&amp;"'!F"&amp;C259))</f>
        <v>12.5</v>
      </c>
      <c r="L259" s="253" cm="1">
        <f t="array" aca="1" ref="L259" ca="1">IF(INDIRECT("'"&amp;B259&amp;"'!G"&amp;C259)=0,"N/A",INDIRECT("'"&amp;B259&amp;"'!G"&amp;C259))</f>
        <v>3</v>
      </c>
      <c r="M259" s="253" t="str" cm="1">
        <f t="array" aca="1" ref="M259" ca="1">IF(INDIRECT("'"&amp;B259&amp;"'!H"&amp;C259)=0,"N/A",INDIRECT("'"&amp;B259&amp;"'!H"&amp;C259))</f>
        <v>12.5 #3</v>
      </c>
      <c r="N259" s="221" t="str" cm="1">
        <f t="array" aca="1" ref="N259" ca="1">IF(INDIRECT("'"&amp;B259&amp;"'!I"&amp;C259)=0,"N/A",INDIRECT("'"&amp;B259&amp;"'!I"&amp;C259))</f>
        <v>มีการรายงานผลการทดสอบแผนฉุกเฉินด้าน IT ต่อคณะกรรมการของผู้ประกอบธุรกิจหรือคณะกรรมการที่ได้รับมอบหมายจากคณะกรรมการของผู้ประกอบธุรกิจ โดยมีรายละเอียดอย่างน้อยครอบคลุมวัตถุประสงค์ ขอบเขตการทดสอบสถานการณ์จำลอง ผลการทดสอบ ข้อผิดพลาดและปัญหาหรืออุปสรรคที่พบ พร้อมทั้งแนวทางปรับปรุงแก้ไข</v>
      </c>
      <c r="O259" s="533" t="str" cm="1">
        <f t="array" aca="1" ref="O259" ca="1">IF(INDIRECT("'"&amp;B259&amp;"'!N"&amp;C259)=0,"N/A",INDIRECT("'"&amp;B259&amp;"'!N"&amp;C259))</f>
        <v>Maturity</v>
      </c>
      <c r="P259" s="527" t="str" cm="1">
        <f t="array" aca="1" ref="P259" ca="1">IF(INDIRECT("'"&amp;B259&amp;"'!L"&amp;C259)=0,"",INDIRECT("'"&amp;B259&amp;"'!L"&amp;C259))</f>
        <v/>
      </c>
      <c r="Q259" s="527" t="str">
        <f t="shared" ca="1" si="25"/>
        <v/>
      </c>
      <c r="R259" s="563" t="str">
        <f t="shared" ref="R259:R272" ca="1" si="32">IF(OR(P259="", P259="N/A"), "Yes", "")</f>
        <v>Yes</v>
      </c>
      <c r="S259" s="528" t="s">
        <v>1572</v>
      </c>
      <c r="T259" s="529" t="str">
        <f t="shared" si="26"/>
        <v>X</v>
      </c>
      <c r="U259" s="529" t="str">
        <f t="shared" si="27"/>
        <v/>
      </c>
      <c r="V259" s="529" t="str">
        <f t="shared" si="28"/>
        <v/>
      </c>
      <c r="W259" s="529" t="str">
        <f t="shared" si="29"/>
        <v/>
      </c>
      <c r="X259" s="529" t="str">
        <f t="shared" si="30"/>
        <v/>
      </c>
      <c r="Y259" s="529" t="str">
        <f t="shared" si="31"/>
        <v/>
      </c>
    </row>
    <row r="260" spans="1:25" x14ac:dyDescent="0.2">
      <c r="A260" s="253" t="s">
        <v>1488</v>
      </c>
      <c r="B260" s="253" t="s">
        <v>1638</v>
      </c>
      <c r="C260" s="253">
        <v>18</v>
      </c>
      <c r="D260" s="253" t="s">
        <v>1579</v>
      </c>
      <c r="E260" s="534">
        <v>2.12</v>
      </c>
      <c r="F260" s="253" t="s">
        <v>1574</v>
      </c>
      <c r="G260" s="215" t="str" cm="1">
        <f t="array" aca="1" ref="G260" ca="1">IF(INDIRECT("'"&amp;B260&amp;"'!B"&amp;C260)=0,"",INDIRECT("'"&amp;B260&amp;"'!B"&amp;C260))</f>
        <v>x</v>
      </c>
      <c r="H260" s="215" t="str" cm="1">
        <f t="array" aca="1" ref="H260" ca="1">IF(INDIRECT("'"&amp;B260&amp;"'!C"&amp;C260)=0,"",INDIRECT("'"&amp;B260&amp;"'!C"&amp;C260))</f>
        <v/>
      </c>
      <c r="I260" s="215" t="str" cm="1">
        <f t="array" aca="1" ref="I260" ca="1">IF(INDIRECT("'"&amp;B260&amp;"'!D"&amp;C260)=0,"",INDIRECT("'"&amp;B260&amp;"'!D"&amp;C260))</f>
        <v/>
      </c>
      <c r="J260" s="215" t="str" cm="1">
        <f t="array" aca="1" ref="J260" ca="1">IF(INDIRECT("'"&amp;B260&amp;"'!E"&amp;C260)=0,"",INDIRECT("'"&amp;B260&amp;"'!E"&amp;C260))</f>
        <v/>
      </c>
      <c r="K260" s="253" cm="1">
        <f t="array" aca="1" ref="K260" ca="1">IF(INDIRECT("'"&amp;B260&amp;"'!F"&amp;C260)=0,"N/A",INDIRECT("'"&amp;B260&amp;"'!F"&amp;C260))</f>
        <v>12.5</v>
      </c>
      <c r="L260" s="253" cm="1">
        <f t="array" aca="1" ref="L260" ca="1">IF(INDIRECT("'"&amp;B260&amp;"'!G"&amp;C260)=0,"N/A",INDIRECT("'"&amp;B260&amp;"'!G"&amp;C260))</f>
        <v>4</v>
      </c>
      <c r="M260" s="253" t="str" cm="1">
        <f t="array" aca="1" ref="M260" ca="1">IF(INDIRECT("'"&amp;B260&amp;"'!H"&amp;C260)=0,"N/A",INDIRECT("'"&amp;B260&amp;"'!H"&amp;C260))</f>
        <v>12.5 #4</v>
      </c>
      <c r="N260" s="221" t="str" cm="1">
        <f t="array" aca="1" ref="N260" ca="1">IF(INDIRECT("'"&amp;B260&amp;"'!I"&amp;C260)=0,"N/A",INDIRECT("'"&amp;B260&amp;"'!I"&amp;C260))</f>
        <v>มีการรายงานผลการทดสอบแผนฉุกเฉินด้าน IT ต่อคณะกรรมการของผู้ประกอบธุรกิจ</v>
      </c>
      <c r="O260" s="533" t="str" cm="1">
        <f t="array" aca="1" ref="O260" ca="1">IF(INDIRECT("'"&amp;B260&amp;"'!N"&amp;C260)=0,"N/A",INDIRECT("'"&amp;B260&amp;"'!N"&amp;C260))</f>
        <v>Yes/Partial/No</v>
      </c>
      <c r="P260" s="527" t="str" cm="1">
        <f t="array" aca="1" ref="P260" ca="1">IF(INDIRECT("'"&amp;B260&amp;"'!L"&amp;C260)=0,"",INDIRECT("'"&amp;B260&amp;"'!L"&amp;C260))</f>
        <v/>
      </c>
      <c r="Q260" s="527" t="str">
        <f t="shared" ref="Q260:Q272" ca="1" si="33">IF(P260="N/A","N/A",IF(OR(P260="No",P260="M1"),1,IF(OR(P260="Partial",P260="M2"),2,IF(OR(P260="Yes",P260="M3"),3,IF(P260="M4",3,IF(P260="M5",3,""))))))</f>
        <v/>
      </c>
      <c r="R260" s="563" t="str">
        <f t="shared" ca="1" si="32"/>
        <v>Yes</v>
      </c>
      <c r="S260" s="528" t="s">
        <v>1572</v>
      </c>
      <c r="T260" s="529" t="str">
        <f t="shared" si="26"/>
        <v>X</v>
      </c>
      <c r="U260" s="529" t="str">
        <f t="shared" si="27"/>
        <v/>
      </c>
      <c r="V260" s="529" t="str">
        <f t="shared" si="28"/>
        <v/>
      </c>
      <c r="W260" s="529" t="str">
        <f t="shared" si="29"/>
        <v/>
      </c>
      <c r="X260" s="529" t="str">
        <f t="shared" si="30"/>
        <v/>
      </c>
      <c r="Y260" s="529" t="str">
        <f t="shared" si="31"/>
        <v/>
      </c>
    </row>
    <row r="261" spans="1:25" ht="25.05" x14ac:dyDescent="0.2">
      <c r="A261" s="253" t="s">
        <v>1492</v>
      </c>
      <c r="B261" s="253" t="s">
        <v>1638</v>
      </c>
      <c r="C261" s="253">
        <v>19</v>
      </c>
      <c r="D261" s="253" t="s">
        <v>1579</v>
      </c>
      <c r="E261" s="534">
        <v>2.12</v>
      </c>
      <c r="F261" s="253" t="s">
        <v>1574</v>
      </c>
      <c r="G261" s="215" t="str" cm="1">
        <f t="array" aca="1" ref="G261" ca="1">IF(INDIRECT("'"&amp;B261&amp;"'!B"&amp;C261)=0,"",INDIRECT("'"&amp;B261&amp;"'!B"&amp;C261))</f>
        <v>x</v>
      </c>
      <c r="H261" s="215" t="str" cm="1">
        <f t="array" aca="1" ref="H261" ca="1">IF(INDIRECT("'"&amp;B261&amp;"'!C"&amp;C261)=0,"",INDIRECT("'"&amp;B261&amp;"'!C"&amp;C261))</f>
        <v/>
      </c>
      <c r="I261" s="215" t="str" cm="1">
        <f t="array" aca="1" ref="I261" ca="1">IF(INDIRECT("'"&amp;B261&amp;"'!D"&amp;C261)=0,"",INDIRECT("'"&amp;B261&amp;"'!D"&amp;C261))</f>
        <v/>
      </c>
      <c r="J261" s="215" t="str" cm="1">
        <f t="array" aca="1" ref="J261" ca="1">IF(INDIRECT("'"&amp;B261&amp;"'!E"&amp;C261)=0,"",INDIRECT("'"&amp;B261&amp;"'!E"&amp;C261))</f>
        <v/>
      </c>
      <c r="K261" s="253" cm="1">
        <f t="array" aca="1" ref="K261" ca="1">IF(INDIRECT("'"&amp;B261&amp;"'!F"&amp;C261)=0,"N/A",INDIRECT("'"&amp;B261&amp;"'!F"&amp;C261))</f>
        <v>12.5</v>
      </c>
      <c r="L261" s="253" cm="1">
        <f t="array" aca="1" ref="L261" ca="1">IF(INDIRECT("'"&amp;B261&amp;"'!G"&amp;C261)=0,"N/A",INDIRECT("'"&amp;B261&amp;"'!G"&amp;C261))</f>
        <v>5</v>
      </c>
      <c r="M261" s="253" t="str" cm="1">
        <f t="array" aca="1" ref="M261" ca="1">IF(INDIRECT("'"&amp;B261&amp;"'!H"&amp;C261)=0,"N/A",INDIRECT("'"&amp;B261&amp;"'!H"&amp;C261))</f>
        <v>12.5 #5</v>
      </c>
      <c r="N261" s="221" t="str" cm="1">
        <f t="array" aca="1" ref="N261" ca="1">IF(INDIRECT("'"&amp;B261&amp;"'!I"&amp;C261)=0,"N/A",INDIRECT("'"&amp;B261&amp;"'!I"&amp;C261))</f>
        <v>มีการทดสอบแผนฉุกเฉินด้าน IT โดยครอบคลุมการเปลี่ยนแปลงกระบวนการทำงาน (business process) หรือการโอนย้ายการประมวลผลไปยังศูนย์คอมพิวเตอร์สำรอง/ระบบ IT สำรอง</v>
      </c>
      <c r="O261" s="533" t="str" cm="1">
        <f t="array" aca="1" ref="O261" ca="1">IF(INDIRECT("'"&amp;B261&amp;"'!N"&amp;C261)=0,"N/A",INDIRECT("'"&amp;B261&amp;"'!N"&amp;C261))</f>
        <v>Yes/Partial/No</v>
      </c>
      <c r="P261" s="527" t="str" cm="1">
        <f t="array" aca="1" ref="P261" ca="1">IF(INDIRECT("'"&amp;B261&amp;"'!L"&amp;C261)=0,"",INDIRECT("'"&amp;B261&amp;"'!L"&amp;C261))</f>
        <v/>
      </c>
      <c r="Q261" s="527" t="str">
        <f t="shared" ca="1" si="33"/>
        <v/>
      </c>
      <c r="R261" s="563" t="str">
        <f t="shared" ca="1" si="32"/>
        <v>Yes</v>
      </c>
      <c r="S261" s="528" t="s">
        <v>1575</v>
      </c>
      <c r="T261" s="529" t="str">
        <f t="shared" ref="T261:T272" si="34">IF(ISNUMBER(SEARCH("(GV)",$S261)),"X","")</f>
        <v/>
      </c>
      <c r="U261" s="529" t="str">
        <f t="shared" ref="U261:U272" si="35">IF(ISNUMBER(SEARCH("(ID)",$S261)),"X","")</f>
        <v>X</v>
      </c>
      <c r="V261" s="529" t="str">
        <f t="shared" ref="V261:V272" si="36">IF(ISNUMBER(SEARCH("(PR)",$S261)),"X","")</f>
        <v/>
      </c>
      <c r="W261" s="529" t="str">
        <f t="shared" ref="W261:W272" si="37">IF(ISNUMBER(SEARCH("(DE)",$S261)),"X","")</f>
        <v/>
      </c>
      <c r="X261" s="529" t="str">
        <f t="shared" ref="X261:X272" si="38">IF(ISNUMBER(SEARCH("(RS)",$S261)),"X","")</f>
        <v/>
      </c>
      <c r="Y261" s="529" t="str">
        <f t="shared" ref="Y261:Y272" si="39">IF(ISNUMBER(SEARCH("(RC)",$S261)),"X","")</f>
        <v/>
      </c>
    </row>
    <row r="262" spans="1:25" ht="37.6" x14ac:dyDescent="0.2">
      <c r="A262" s="253" t="s">
        <v>1496</v>
      </c>
      <c r="B262" s="253" t="s">
        <v>1638</v>
      </c>
      <c r="C262" s="253">
        <v>20</v>
      </c>
      <c r="D262" s="253" t="s">
        <v>1579</v>
      </c>
      <c r="E262" s="534">
        <v>2.12</v>
      </c>
      <c r="F262" s="253" t="s">
        <v>1571</v>
      </c>
      <c r="G262" s="215" t="str" cm="1">
        <f t="array" aca="1" ref="G262" ca="1">IF(INDIRECT("'"&amp;B262&amp;"'!B"&amp;C262)=0,"",INDIRECT("'"&amp;B262&amp;"'!B"&amp;C262))</f>
        <v>x</v>
      </c>
      <c r="H262" s="215" t="str" cm="1">
        <f t="array" aca="1" ref="H262" ca="1">IF(INDIRECT("'"&amp;B262&amp;"'!C"&amp;C262)=0,"",INDIRECT("'"&amp;B262&amp;"'!C"&amp;C262))</f>
        <v>x</v>
      </c>
      <c r="I262" s="215" t="str" cm="1">
        <f t="array" aca="1" ref="I262" ca="1">IF(INDIRECT("'"&amp;B262&amp;"'!D"&amp;C262)=0,"",INDIRECT("'"&amp;B262&amp;"'!D"&amp;C262))</f>
        <v>x</v>
      </c>
      <c r="J262" s="215" t="str" cm="1">
        <f t="array" aca="1" ref="J262" ca="1">IF(INDIRECT("'"&amp;B262&amp;"'!E"&amp;C262)=0,"",INDIRECT("'"&amp;B262&amp;"'!E"&amp;C262))</f>
        <v/>
      </c>
      <c r="K262" s="253" cm="1">
        <f t="array" aca="1" ref="K262" ca="1">IF(INDIRECT("'"&amp;B262&amp;"'!F"&amp;C262)=0,"N/A",INDIRECT("'"&amp;B262&amp;"'!F"&amp;C262))</f>
        <v>12.6</v>
      </c>
      <c r="L262" s="253" t="str" cm="1">
        <f t="array" aca="1" ref="L262" ca="1">IF(INDIRECT("'"&amp;B262&amp;"'!G"&amp;C262)=0,"N/A",INDIRECT("'"&amp;B262&amp;"'!G"&amp;C262))</f>
        <v>N/A</v>
      </c>
      <c r="M262" s="253" cm="1">
        <f t="array" aca="1" ref="M262" ca="1">IF(INDIRECT("'"&amp;B262&amp;"'!H"&amp;C262)=0,"N/A",INDIRECT("'"&amp;B262&amp;"'!H"&amp;C262))</f>
        <v>12.6</v>
      </c>
      <c r="N262" s="221" t="str" cm="1">
        <f t="array" aca="1" ref="N262" ca="1">IF(INDIRECT("'"&amp;B262&amp;"'!I"&amp;C262)=0,"N/A",INDIRECT("'"&amp;B262&amp;"'!I"&amp;C262))</f>
        <v>มีการกำหนดกระบวนการดำเนินงาน เพื่อรับมือเหตุการณ์การใช้ทรัพยากรด้าน IT หรือการใช้ประสิทธิภาพของระบบงานเกินขีดจำกัดของตัวชี้วัดที่กำหนดไว้ เช่น การจำกัดการให้บริการบางช่องทาง หรือตัดการเชื่อมต่อกับผู้ให้บริการหรือบุคคลภายนอกที่มีผลกระทบต่อระบบ IT เป็นต้น</v>
      </c>
      <c r="O262" s="533" t="str" cm="1">
        <f t="array" aca="1" ref="O262" ca="1">IF(INDIRECT("'"&amp;B262&amp;"'!N"&amp;C262)=0,"N/A",INDIRECT("'"&amp;B262&amp;"'!N"&amp;C262))</f>
        <v>Yes/Partial/No</v>
      </c>
      <c r="P262" s="527" t="str" cm="1">
        <f t="array" aca="1" ref="P262" ca="1">IF(INDIRECT("'"&amp;B262&amp;"'!L"&amp;C262)=0,"",INDIRECT("'"&amp;B262&amp;"'!L"&amp;C262))</f>
        <v/>
      </c>
      <c r="Q262" s="527" t="str">
        <f t="shared" ca="1" si="33"/>
        <v/>
      </c>
      <c r="R262" s="563" t="str">
        <f t="shared" ca="1" si="32"/>
        <v>Yes</v>
      </c>
      <c r="S262" s="528" t="s">
        <v>1642</v>
      </c>
      <c r="T262" s="529" t="str">
        <f t="shared" si="34"/>
        <v/>
      </c>
      <c r="U262" s="529" t="str">
        <f t="shared" si="35"/>
        <v/>
      </c>
      <c r="V262" s="529" t="str">
        <f t="shared" si="36"/>
        <v>X</v>
      </c>
      <c r="W262" s="529" t="str">
        <f t="shared" si="37"/>
        <v/>
      </c>
      <c r="X262" s="529" t="str">
        <f t="shared" si="38"/>
        <v>X</v>
      </c>
      <c r="Y262" s="529" t="str">
        <f t="shared" si="39"/>
        <v/>
      </c>
    </row>
    <row r="263" spans="1:25" ht="62.65" x14ac:dyDescent="0.2">
      <c r="A263" s="253" t="s">
        <v>1499</v>
      </c>
      <c r="B263" s="253" t="s">
        <v>1638</v>
      </c>
      <c r="C263" s="253">
        <v>21</v>
      </c>
      <c r="D263" s="253" t="s">
        <v>1579</v>
      </c>
      <c r="E263" s="534">
        <v>2.12</v>
      </c>
      <c r="F263" s="253" t="s">
        <v>1571</v>
      </c>
      <c r="G263" s="215" t="str" cm="1">
        <f t="array" aca="1" ref="G263" ca="1">IF(INDIRECT("'"&amp;B263&amp;"'!B"&amp;C263)=0,"",INDIRECT("'"&amp;B263&amp;"'!B"&amp;C263))</f>
        <v>x</v>
      </c>
      <c r="H263" s="215" t="str" cm="1">
        <f t="array" aca="1" ref="H263" ca="1">IF(INDIRECT("'"&amp;B263&amp;"'!C"&amp;C263)=0,"",INDIRECT("'"&amp;B263&amp;"'!C"&amp;C263))</f>
        <v>x</v>
      </c>
      <c r="I263" s="215" t="str" cm="1">
        <f t="array" aca="1" ref="I263" ca="1">IF(INDIRECT("'"&amp;B263&amp;"'!D"&amp;C263)=0,"",INDIRECT("'"&amp;B263&amp;"'!D"&amp;C263))</f>
        <v>x</v>
      </c>
      <c r="J263" s="215" t="str" cm="1">
        <f t="array" aca="1" ref="J263" ca="1">IF(INDIRECT("'"&amp;B263&amp;"'!E"&amp;C263)=0,"",INDIRECT("'"&amp;B263&amp;"'!E"&amp;C263))</f>
        <v/>
      </c>
      <c r="K263" s="253" cm="1">
        <f t="array" aca="1" ref="K263" ca="1">IF(INDIRECT("'"&amp;B263&amp;"'!F"&amp;C263)=0,"N/A",INDIRECT("'"&amp;B263&amp;"'!F"&amp;C263))</f>
        <v>12.7</v>
      </c>
      <c r="L263" s="253" t="str" cm="1">
        <f t="array" aca="1" ref="L263" ca="1">IF(INDIRECT("'"&amp;B263&amp;"'!G"&amp;C263)=0,"N/A",INDIRECT("'"&amp;B263&amp;"'!G"&amp;C263))</f>
        <v>N/A</v>
      </c>
      <c r="M263" s="253" cm="1">
        <f t="array" aca="1" ref="M263" ca="1">IF(INDIRECT("'"&amp;B263&amp;"'!H"&amp;C263)=0,"N/A",INDIRECT("'"&amp;B263&amp;"'!H"&amp;C263))</f>
        <v>12.7</v>
      </c>
      <c r="N263" s="221" t="str" cm="1">
        <f t="array" aca="1" ref="N263" ca="1">IF(INDIRECT("'"&amp;B263&amp;"'!I"&amp;C263)=0,"N/A",INDIRECT("'"&amp;B263&amp;"'!I"&amp;C263))</f>
        <v>มีการทำรายละเอียดในการติดต่อรายชื่อหน่วยงานกำกับดูแลและบุคคลภายนอกที่ให้บริการหรือที่มีการเชื่อมต่อกับระบบ IT ของผู้ประกอบธุรกิจ รวมทั้ง มีการกำหนดช่องทางในการติดต่อ และรายชื่อผู้ที่เกี่ยวข้องของหน่วยงานกำกับดูแลหรือบุคคลภายนอก เพื่อให้สามารถประสานงานในการรายงานเหตุการณ์ผิดปกติด้าน IT หรือขอความช่วยเหลือจากหน่วยงานภายนอกที่เกี่ยวข้องได้อย่างมีประสิทธิภาพ โดยต้องมีการปรับปรุงข้อมูลดังกล่าวให้เป็นปัจจุบันอยู่เสมอ</v>
      </c>
      <c r="O263" s="533" t="str" cm="1">
        <f t="array" aca="1" ref="O263" ca="1">IF(INDIRECT("'"&amp;B263&amp;"'!N"&amp;C263)=0,"N/A",INDIRECT("'"&amp;B263&amp;"'!N"&amp;C263))</f>
        <v>Maturity</v>
      </c>
      <c r="P263" s="527" t="str" cm="1">
        <f t="array" aca="1" ref="P263" ca="1">IF(INDIRECT("'"&amp;B263&amp;"'!L"&amp;C263)=0,"",INDIRECT("'"&amp;B263&amp;"'!L"&amp;C263))</f>
        <v/>
      </c>
      <c r="Q263" s="527" t="str">
        <f t="shared" ca="1" si="33"/>
        <v/>
      </c>
      <c r="R263" s="563" t="str">
        <f t="shared" ca="1" si="32"/>
        <v>Yes</v>
      </c>
      <c r="S263" s="528" t="s">
        <v>1572</v>
      </c>
      <c r="T263" s="529" t="str">
        <f t="shared" si="34"/>
        <v>X</v>
      </c>
      <c r="U263" s="529" t="str">
        <f t="shared" si="35"/>
        <v/>
      </c>
      <c r="V263" s="529" t="str">
        <f t="shared" si="36"/>
        <v/>
      </c>
      <c r="W263" s="529" t="str">
        <f t="shared" si="37"/>
        <v/>
      </c>
      <c r="X263" s="529" t="str">
        <f t="shared" si="38"/>
        <v/>
      </c>
      <c r="Y263" s="529" t="str">
        <f t="shared" si="39"/>
        <v/>
      </c>
    </row>
    <row r="264" spans="1:25" ht="50.1" x14ac:dyDescent="0.2">
      <c r="A264" s="253" t="s">
        <v>1508</v>
      </c>
      <c r="B264" s="253" t="s">
        <v>1643</v>
      </c>
      <c r="C264" s="253">
        <v>3</v>
      </c>
      <c r="D264" s="253" t="s">
        <v>1643</v>
      </c>
      <c r="E264" s="253">
        <v>3</v>
      </c>
      <c r="F264" s="253" t="s">
        <v>1571</v>
      </c>
      <c r="G264" s="215" t="str" cm="1">
        <f t="array" aca="1" ref="G264" ca="1">IF(INDIRECT("'"&amp;B264&amp;"'!B"&amp;C264)=0,"",INDIRECT("'"&amp;B264&amp;"'!B"&amp;C264))</f>
        <v>x</v>
      </c>
      <c r="H264" s="215" t="str" cm="1">
        <f t="array" aca="1" ref="H264" ca="1">IF(INDIRECT("'"&amp;B264&amp;"'!C"&amp;C264)=0,"",INDIRECT("'"&amp;B264&amp;"'!C"&amp;C264))</f>
        <v>x</v>
      </c>
      <c r="I264" s="215" t="str" cm="1">
        <f t="array" aca="1" ref="I264" ca="1">IF(INDIRECT("'"&amp;B264&amp;"'!D"&amp;C264)=0,"",INDIRECT("'"&amp;B264&amp;"'!D"&amp;C264))</f>
        <v>x</v>
      </c>
      <c r="J264" s="215" t="str" cm="1">
        <f t="array" aca="1" ref="J264" ca="1">IF(INDIRECT("'"&amp;B264&amp;"'!E"&amp;C264)=0,"",INDIRECT("'"&amp;B264&amp;"'!E"&amp;C264))</f>
        <v>x</v>
      </c>
      <c r="K264" s="253" cm="1">
        <f t="array" aca="1" ref="K264" ca="1">IF(INDIRECT("'"&amp;B264&amp;"'!F"&amp;C264)=0,"N/A",INDIRECT("'"&amp;B264&amp;"'!F"&amp;C264))</f>
        <v>1.1000000000000001</v>
      </c>
      <c r="L264" s="253" t="str" cm="1">
        <f t="array" aca="1" ref="L264" ca="1">IF(INDIRECT("'"&amp;B264&amp;"'!G"&amp;C264)=0,"N/A",INDIRECT("'"&amp;B264&amp;"'!G"&amp;C264))</f>
        <v>N/A</v>
      </c>
      <c r="M264" s="253" cm="1">
        <f t="array" aca="1" ref="M264" ca="1">IF(INDIRECT("'"&amp;B264&amp;"'!H"&amp;C264)=0,"N/A",INDIRECT("'"&amp;B264&amp;"'!H"&amp;C264))</f>
        <v>1.1000000000000001</v>
      </c>
      <c r="N264" s="221" t="str" cm="1">
        <f t="array" aca="1" ref="N264" ca="1">IF(INDIRECT("'"&amp;B264&amp;"'!I"&amp;C264)=0,"N/A",INDIRECT("'"&amp;B264&amp;"'!I"&amp;C264))</f>
        <v xml:space="preserve">ผู้ตรวจสอบมีความเป็นอิสระจากผู้ทำหน้าที่ด้าน IT ในระดับ ดังนี้
    (1) ระดับที่ 1 (first line of defense) : การปฏิบัติงาน
    (2) ระดับที่ 2 (second line of defense) : การบริหารความเสี่ยงและกำกับดูแลการปฏิบัติตามกฎหมายและหลักเกณฑ์ที่เกี่ยวข้อง    </v>
      </c>
      <c r="O264" s="533" t="str" cm="1">
        <f t="array" aca="1" ref="O264" ca="1">IF(INDIRECT("'"&amp;B264&amp;"'!N"&amp;C264)=0,"N/A",INDIRECT("'"&amp;B264&amp;"'!N"&amp;C264))</f>
        <v>N/A</v>
      </c>
      <c r="P264" s="527" t="str" cm="1">
        <f t="array" aca="1" ref="P264" ca="1">IF(INDIRECT("'"&amp;B264&amp;"'!L"&amp;C264)=0,"",INDIRECT("'"&amp;B264&amp;"'!L"&amp;C264))</f>
        <v>N/A</v>
      </c>
      <c r="Q264" s="527" t="str">
        <f t="shared" ca="1" si="33"/>
        <v>N/A</v>
      </c>
      <c r="R264" s="563" t="str">
        <f t="shared" ca="1" si="32"/>
        <v>Yes</v>
      </c>
      <c r="S264" s="528" t="s">
        <v>1572</v>
      </c>
      <c r="T264" s="529" t="str">
        <f t="shared" si="34"/>
        <v>X</v>
      </c>
      <c r="U264" s="529" t="str">
        <f t="shared" si="35"/>
        <v/>
      </c>
      <c r="V264" s="529" t="str">
        <f t="shared" si="36"/>
        <v/>
      </c>
      <c r="W264" s="529" t="str">
        <f t="shared" si="37"/>
        <v/>
      </c>
      <c r="X264" s="529" t="str">
        <f t="shared" si="38"/>
        <v/>
      </c>
      <c r="Y264" s="529" t="str">
        <f t="shared" si="39"/>
        <v/>
      </c>
    </row>
    <row r="265" spans="1:25" ht="75.150000000000006" x14ac:dyDescent="0.2">
      <c r="A265" s="253" t="s">
        <v>1510</v>
      </c>
      <c r="B265" s="253" t="s">
        <v>1643</v>
      </c>
      <c r="C265" s="253">
        <v>4</v>
      </c>
      <c r="D265" s="253" t="s">
        <v>1643</v>
      </c>
      <c r="E265" s="253">
        <v>3</v>
      </c>
      <c r="F265" s="253" t="s">
        <v>1571</v>
      </c>
      <c r="G265" s="215" t="str" cm="1">
        <f t="array" aca="1" ref="G265" ca="1">IF(INDIRECT("'"&amp;B265&amp;"'!B"&amp;C265)=0,"",INDIRECT("'"&amp;B265&amp;"'!B"&amp;C265))</f>
        <v>x</v>
      </c>
      <c r="H265" s="215" t="str" cm="1">
        <f t="array" aca="1" ref="H265" ca="1">IF(INDIRECT("'"&amp;B265&amp;"'!C"&amp;C265)=0,"",INDIRECT("'"&amp;B265&amp;"'!C"&amp;C265))</f>
        <v>x</v>
      </c>
      <c r="I265" s="215" t="str" cm="1">
        <f t="array" aca="1" ref="I265" ca="1">IF(INDIRECT("'"&amp;B265&amp;"'!D"&amp;C265)=0,"",INDIRECT("'"&amp;B265&amp;"'!D"&amp;C265))</f>
        <v>x</v>
      </c>
      <c r="J265" s="215" t="str" cm="1">
        <f t="array" aca="1" ref="J265" ca="1">IF(INDIRECT("'"&amp;B265&amp;"'!E"&amp;C265)=0,"",INDIRECT("'"&amp;B265&amp;"'!E"&amp;C265))</f>
        <v>x</v>
      </c>
      <c r="K265" s="253" cm="1">
        <f t="array" aca="1" ref="K265" ca="1">IF(INDIRECT("'"&amp;B265&amp;"'!F"&amp;C265)=0,"N/A",INDIRECT("'"&amp;B265&amp;"'!F"&amp;C265))</f>
        <v>1.2</v>
      </c>
      <c r="L265" s="253" t="str" cm="1">
        <f t="array" aca="1" ref="L265" ca="1">IF(INDIRECT("'"&amp;B265&amp;"'!G"&amp;C265)=0,"N/A",INDIRECT("'"&amp;B265&amp;"'!G"&amp;C265))</f>
        <v>N/A</v>
      </c>
      <c r="M265" s="253" cm="1">
        <f t="array" aca="1" ref="M265" ca="1">IF(INDIRECT("'"&amp;B265&amp;"'!H"&amp;C265)=0,"N/A",INDIRECT("'"&amp;B265&amp;"'!H"&amp;C265))</f>
        <v>1.2</v>
      </c>
      <c r="N265" s="221" t="str" cm="1">
        <f t="array" aca="1" ref="N265" ca="1">IF(INDIRECT("'"&amp;B265&amp;"'!I"&amp;C265)=0,"N/A",INDIRECT("'"&amp;B265&amp;"'!I"&amp;C265))</f>
        <v xml:space="preserve">ผู้ตรวจสอบผ่านการรับรองและมีวุฒิบัตรอย่างใดอย่างหนึ่ง ดังนี้
    (1) Certified Information Systems Auditor (CISA)
    (2) Certified Information Security Manager (CISM)
    (3) Certified Information Systems Security Professional (CISSP)
    (4) ISO/IEC 27001 Lead Auditor 
    (5) ใบรับรองอื่นตามที่กำหนดเพิ่มเติมบนเว็บไซต์ของสำนักงาน </v>
      </c>
      <c r="O265" s="533" t="str" cm="1">
        <f t="array" aca="1" ref="O265" ca="1">IF(INDIRECT("'"&amp;B265&amp;"'!N"&amp;C265)=0,"N/A",INDIRECT("'"&amp;B265&amp;"'!N"&amp;C265))</f>
        <v>N/A</v>
      </c>
      <c r="P265" s="527" t="str" cm="1">
        <f t="array" aca="1" ref="P265" ca="1">IF(INDIRECT("'"&amp;B265&amp;"'!L"&amp;C265)=0,"",INDIRECT("'"&amp;B265&amp;"'!L"&amp;C265))</f>
        <v>N/A</v>
      </c>
      <c r="Q265" s="527" t="str">
        <f t="shared" ca="1" si="33"/>
        <v>N/A</v>
      </c>
      <c r="R265" s="563" t="str">
        <f t="shared" ca="1" si="32"/>
        <v>Yes</v>
      </c>
      <c r="S265" s="528" t="s">
        <v>1572</v>
      </c>
      <c r="T265" s="529" t="str">
        <f t="shared" si="34"/>
        <v>X</v>
      </c>
      <c r="U265" s="529" t="str">
        <f t="shared" si="35"/>
        <v/>
      </c>
      <c r="V265" s="529" t="str">
        <f t="shared" si="36"/>
        <v/>
      </c>
      <c r="W265" s="529" t="str">
        <f t="shared" si="37"/>
        <v/>
      </c>
      <c r="X265" s="529" t="str">
        <f t="shared" si="38"/>
        <v/>
      </c>
      <c r="Y265" s="529" t="str">
        <f t="shared" si="39"/>
        <v/>
      </c>
    </row>
    <row r="266" spans="1:25" ht="25.05" x14ac:dyDescent="0.2">
      <c r="A266" s="253" t="s">
        <v>1512</v>
      </c>
      <c r="B266" s="253" t="s">
        <v>1643</v>
      </c>
      <c r="C266" s="253">
        <v>5</v>
      </c>
      <c r="D266" s="253" t="s">
        <v>1643</v>
      </c>
      <c r="E266" s="253">
        <v>3</v>
      </c>
      <c r="F266" s="253" t="s">
        <v>1571</v>
      </c>
      <c r="G266" s="215" t="str" cm="1">
        <f t="array" aca="1" ref="G266" ca="1">IF(INDIRECT("'"&amp;B266&amp;"'!B"&amp;C266)=0,"",INDIRECT("'"&amp;B266&amp;"'!B"&amp;C266))</f>
        <v>x</v>
      </c>
      <c r="H266" s="215" t="str" cm="1">
        <f t="array" aca="1" ref="H266" ca="1">IF(INDIRECT("'"&amp;B266&amp;"'!C"&amp;C266)=0,"",INDIRECT("'"&amp;B266&amp;"'!C"&amp;C266))</f>
        <v>x</v>
      </c>
      <c r="I266" s="215" t="str" cm="1">
        <f t="array" aca="1" ref="I266" ca="1">IF(INDIRECT("'"&amp;B266&amp;"'!D"&amp;C266)=0,"",INDIRECT("'"&amp;B266&amp;"'!D"&amp;C266))</f>
        <v>x</v>
      </c>
      <c r="J266" s="215" t="str" cm="1">
        <f t="array" aca="1" ref="J266" ca="1">IF(INDIRECT("'"&amp;B266&amp;"'!E"&amp;C266)=0,"",INDIRECT("'"&amp;B266&amp;"'!E"&amp;C266))</f>
        <v>x</v>
      </c>
      <c r="K266" s="253" cm="1">
        <f t="array" aca="1" ref="K266" ca="1">IF(INDIRECT("'"&amp;B266&amp;"'!F"&amp;C266)=0,"N/A",INDIRECT("'"&amp;B266&amp;"'!F"&amp;C266))</f>
        <v>2</v>
      </c>
      <c r="L266" s="253" t="str" cm="1">
        <f t="array" aca="1" ref="L266" ca="1">IF(INDIRECT("'"&amp;B266&amp;"'!G"&amp;C266)=0,"N/A",INDIRECT("'"&amp;B266&amp;"'!G"&amp;C266))</f>
        <v>N/A</v>
      </c>
      <c r="M266" s="253" cm="1">
        <f t="array" aca="1" ref="M266" ca="1">IF(INDIRECT("'"&amp;B266&amp;"'!H"&amp;C266)=0,"N/A",INDIRECT("'"&amp;B266&amp;"'!H"&amp;C266))</f>
        <v>2</v>
      </c>
      <c r="N266" s="221" t="str" cm="1">
        <f t="array" aca="1" ref="N266" ca="1">IF(INDIRECT("'"&amp;B266&amp;"'!I"&amp;C266)=0,"N/A",INDIRECT("'"&amp;B266&amp;"'!I"&amp;C266))</f>
        <v>มีการทบทวนแผนงานและขอบเขตการตรวจสอบให้สอดคล้องกับ IT Risk และประกาศที่ สธ. 38/2565 กำหนด อย่างน้อยปีละ 1 ครั้ง และเมื่อมีเหตุจำเป็นที่ควรได้รับการทบทวนดังกล่าว</v>
      </c>
      <c r="O266" s="533" t="str" cm="1">
        <f t="array" aca="1" ref="O266" ca="1">IF(INDIRECT("'"&amp;B266&amp;"'!N"&amp;C266)=0,"N/A",INDIRECT("'"&amp;B266&amp;"'!N"&amp;C266))</f>
        <v>N/A</v>
      </c>
      <c r="P266" s="527" t="str" cm="1">
        <f t="array" aca="1" ref="P266" ca="1">IF(INDIRECT("'"&amp;B266&amp;"'!L"&amp;C266)=0,"",INDIRECT("'"&amp;B266&amp;"'!L"&amp;C266))</f>
        <v>N/A</v>
      </c>
      <c r="Q266" s="527" t="str">
        <f t="shared" ca="1" si="33"/>
        <v>N/A</v>
      </c>
      <c r="R266" s="563" t="str">
        <f t="shared" ca="1" si="32"/>
        <v>Yes</v>
      </c>
      <c r="S266" s="528" t="s">
        <v>1575</v>
      </c>
      <c r="T266" s="529" t="str">
        <f t="shared" si="34"/>
        <v/>
      </c>
      <c r="U266" s="529" t="str">
        <f t="shared" si="35"/>
        <v>X</v>
      </c>
      <c r="V266" s="529" t="str">
        <f t="shared" si="36"/>
        <v/>
      </c>
      <c r="W266" s="529" t="str">
        <f t="shared" si="37"/>
        <v/>
      </c>
      <c r="X266" s="529" t="str">
        <f t="shared" si="38"/>
        <v/>
      </c>
      <c r="Y266" s="529" t="str">
        <f t="shared" si="39"/>
        <v/>
      </c>
    </row>
    <row r="267" spans="1:25" ht="354.4" customHeight="1" x14ac:dyDescent="0.2">
      <c r="A267" s="253" t="s">
        <v>1514</v>
      </c>
      <c r="B267" s="253" t="s">
        <v>1643</v>
      </c>
      <c r="C267" s="253">
        <v>6</v>
      </c>
      <c r="D267" s="253" t="s">
        <v>1643</v>
      </c>
      <c r="E267" s="253">
        <v>3</v>
      </c>
      <c r="F267" s="253" t="s">
        <v>1571</v>
      </c>
      <c r="G267" s="215" t="str" cm="1">
        <f t="array" aca="1" ref="G267" ca="1">IF(INDIRECT("'"&amp;B267&amp;"'!B"&amp;C267)=0,"",INDIRECT("'"&amp;B267&amp;"'!B"&amp;C267))</f>
        <v>x</v>
      </c>
      <c r="H267" s="215" t="str" cm="1">
        <f t="array" aca="1" ref="H267" ca="1">IF(INDIRECT("'"&amp;B267&amp;"'!C"&amp;C267)=0,"",INDIRECT("'"&amp;B267&amp;"'!C"&amp;C267))</f>
        <v>x</v>
      </c>
      <c r="I267" s="215" t="str" cm="1">
        <f t="array" aca="1" ref="I267" ca="1">IF(INDIRECT("'"&amp;B267&amp;"'!D"&amp;C267)=0,"",INDIRECT("'"&amp;B267&amp;"'!D"&amp;C267))</f>
        <v>x</v>
      </c>
      <c r="J267" s="215" t="str" cm="1">
        <f t="array" aca="1" ref="J267" ca="1">IF(INDIRECT("'"&amp;B267&amp;"'!E"&amp;C267)=0,"",INDIRECT("'"&amp;B267&amp;"'!E"&amp;C267))</f>
        <v>x</v>
      </c>
      <c r="K267" s="253" cm="1">
        <f t="array" aca="1" ref="K267" ca="1">IF(INDIRECT("'"&amp;B267&amp;"'!F"&amp;C267)=0,"N/A",INDIRECT("'"&amp;B267&amp;"'!F"&amp;C267))</f>
        <v>3.1</v>
      </c>
      <c r="L267" s="253" t="str" cm="1">
        <f t="array" aca="1" ref="L267" ca="1">IF(INDIRECT("'"&amp;B267&amp;"'!G"&amp;C267)=0,"N/A",INDIRECT("'"&amp;B267&amp;"'!G"&amp;C267))</f>
        <v>N/A</v>
      </c>
      <c r="M267" s="253" cm="1">
        <f t="array" aca="1" ref="M267" ca="1">IF(INDIRECT("'"&amp;B267&amp;"'!H"&amp;C267)=0,"N/A",INDIRECT("'"&amp;B267&amp;"'!H"&amp;C267))</f>
        <v>3.1</v>
      </c>
      <c r="N267" s="221" t="str" cm="1">
        <f t="array" aca="1" ref="N267" ca="1">IF(INDIRECT("'"&amp;B267&amp;"'!I"&amp;C267)=0,"N/A",INDIRECT("'"&amp;B267&amp;"'!I"&amp;C267))</f>
        <v>กำหนดให้มีการตรวจสอบและรายงานผลการตรวจสอบด้าน IT โดยมีการกำหนดหลักเกณฑ์และเวลาการตรวจสอบตามระดับความเสี่ยงของผู้ประกอบธุรกิจที่ผู้ประกอบธุรกิจประเมินได้จากแบบ RLA อย่างเหมาะสม
กรณีเป็นผู้ประกอบธุรกิจขนาดเล็ก
    (1) จัดให้มีการตรวจสอบด้าน IT ที่ครอบคลุมหลักเกณฑ์ทั้งหมดที่บังคับใช้กับผู้ประกอบธุรกิจขนาดเล็ก (full scope) อย่างน้อยทุก 3 ปี ตามรอบปีที่สำนักงานกำหนด*
กรณีเป็นผู้ประกอบธุรกิจที่มีความเสี่ยงระดับต่ำ
    (1) จัดให้มีการตรวจสอบด้าน IT ที่ครอบคลุมหลักเกณฑ์ทั้งหมดที่บังคับใช้กับผู้ประกอบธุรกิจที่มีความเสี่ยงระดับต่ำ (full scope) อย่างน้อยทุก 3 ปี ตามรอบปีที่สำนักงานกำหนด*
กรณีเป็นผู้ประกอบธุรกิจที่มีความเสี่ยงระดับปานกลางหรือหรือระดับสูง 
    (1) จัดให้มีการตรวจสอบด้าน IT แบบเต็มรูปแบบ (full scope) ที่ครอบคลุมหลักเกณฑ์ทั้งหมด อย่างน้อยปีละ 1 ครั้ง
*หมายเหตุ : หนังสือเวียน ที่ กลต.ตท.(ว) 5225/2567 กำหนดให้รอบปีที่เริ่มต้นการตรวจสอบ คือ ปี 2569 ที่ผู้ประกอบธุรกิจขนาดเล็ก และผู้ประกอบธุรกิจที่มีความเสี่ยงระดับต่ำ ต้องจัดให้มีการตรวจสอบด้าน IT และนำส่งรายงานผลการตรวจสอบต่อสำนักงาน กล่าวคือ ในปีที่ 2569, 2572, 2575, 2578, ... ผู้ประกอบธุรกิจต้องจัดให้มีการตรวจสอบด้าน IT
ในปีอื่น ๆ ที่มิได้กำหนดให้ต้องดำเนินการตรวจสอบด้าน IT เช่น ปี 2568 เป็นต้น (กรณีที่ไม่เกิดเหตุการณ์ด้านความมั่นคงปลอดภัยของระบบ IT อย่างมีนัยสำคัญ (major IT security incident)) ไม่ต้องดำเนินการตรวจสอบด้าน IT ต่อสำนักงาน
กรณีที่เกิดเหตุการณ์ด้านความมั่นคงปลอดภัยของระบบ IT อย่างมีนัยสำคัญ (major IT securty incident) ในรอบปีที่มิได้กำหนดให้มีการตรวจสอบด้าน IT ผู้ประกอบธุรกิจขนาดเล็กและผู้ประกอบธุรกิจที่มีความเสี่ยงระดับต่ำ ต้องจัดให้มีการดำเนินการตรวจสอบด้าน IT แบบเต็มรูปแบบ (full scope) ภายในปีที่เกิดเหตุการณ์ดังกล่าว และนำส่งผลการตรวจสอบต่อสำนักงาน</v>
      </c>
      <c r="O267" s="533" t="str" cm="1">
        <f t="array" aca="1" ref="O267" ca="1">IF(INDIRECT("'"&amp;B267&amp;"'!N"&amp;C267)=0,"N/A",INDIRECT("'"&amp;B267&amp;"'!N"&amp;C267))</f>
        <v>N/A</v>
      </c>
      <c r="P267" s="527" t="str" cm="1">
        <f t="array" aca="1" ref="P267" ca="1">IF(INDIRECT("'"&amp;B267&amp;"'!L"&amp;C267)=0,"",INDIRECT("'"&amp;B267&amp;"'!L"&amp;C267))</f>
        <v>N/A</v>
      </c>
      <c r="Q267" s="527" t="str">
        <f t="shared" ca="1" si="33"/>
        <v>N/A</v>
      </c>
      <c r="R267" s="563" t="str">
        <f t="shared" ca="1" si="32"/>
        <v>Yes</v>
      </c>
      <c r="S267" s="528" t="s">
        <v>1575</v>
      </c>
      <c r="T267" s="529" t="str">
        <f t="shared" si="34"/>
        <v/>
      </c>
      <c r="U267" s="529" t="str">
        <f t="shared" si="35"/>
        <v>X</v>
      </c>
      <c r="V267" s="529" t="str">
        <f>IF(ISNUMBER(SEARCH("(PR)",$S267)),"X","")</f>
        <v/>
      </c>
      <c r="W267" s="529" t="str">
        <f t="shared" si="37"/>
        <v/>
      </c>
      <c r="X267" s="529" t="str">
        <f t="shared" si="38"/>
        <v/>
      </c>
      <c r="Y267" s="529" t="str">
        <f t="shared" si="39"/>
        <v/>
      </c>
    </row>
    <row r="268" spans="1:25" ht="37.6" x14ac:dyDescent="0.2">
      <c r="A268" s="253" t="s">
        <v>1516</v>
      </c>
      <c r="B268" s="253" t="s">
        <v>1643</v>
      </c>
      <c r="C268" s="253">
        <v>7</v>
      </c>
      <c r="D268" s="253" t="s">
        <v>1643</v>
      </c>
      <c r="E268" s="253">
        <v>3</v>
      </c>
      <c r="F268" s="253" t="s">
        <v>1571</v>
      </c>
      <c r="G268" s="215" t="str" cm="1">
        <f t="array" aca="1" ref="G268" ca="1">IF(INDIRECT("'"&amp;B268&amp;"'!B"&amp;C268)=0,"",INDIRECT("'"&amp;B268&amp;"'!B"&amp;C268))</f>
        <v>x</v>
      </c>
      <c r="H268" s="215" t="str" cm="1">
        <f t="array" aca="1" ref="H268" ca="1">IF(INDIRECT("'"&amp;B268&amp;"'!C"&amp;C268)=0,"",INDIRECT("'"&amp;B268&amp;"'!C"&amp;C268))</f>
        <v>x</v>
      </c>
      <c r="I268" s="215" t="str" cm="1">
        <f t="array" aca="1" ref="I268" ca="1">IF(INDIRECT("'"&amp;B268&amp;"'!D"&amp;C268)=0,"",INDIRECT("'"&amp;B268&amp;"'!D"&amp;C268))</f>
        <v>x</v>
      </c>
      <c r="J268" s="215" t="str" cm="1">
        <f t="array" aca="1" ref="J268" ca="1">IF(INDIRECT("'"&amp;B268&amp;"'!E"&amp;C268)=0,"",INDIRECT("'"&amp;B268&amp;"'!E"&amp;C268))</f>
        <v>x</v>
      </c>
      <c r="K268" s="253" cm="1">
        <f t="array" aca="1" ref="K268" ca="1">IF(INDIRECT("'"&amp;B268&amp;"'!F"&amp;C268)=0,"N/A",INDIRECT("'"&amp;B268&amp;"'!F"&amp;C268))</f>
        <v>3.2</v>
      </c>
      <c r="L268" s="253" t="str" cm="1">
        <f t="array" aca="1" ref="L268" ca="1">IF(INDIRECT("'"&amp;B268&amp;"'!G"&amp;C268)=0,"N/A",INDIRECT("'"&amp;B268&amp;"'!G"&amp;C268))</f>
        <v>N/A</v>
      </c>
      <c r="M268" s="253" cm="1">
        <f t="array" aca="1" ref="M268" ca="1">IF(INDIRECT("'"&amp;B268&amp;"'!H"&amp;C268)=0,"N/A",INDIRECT("'"&amp;B268&amp;"'!H"&amp;C268))</f>
        <v>3.2</v>
      </c>
      <c r="N268" s="221" t="str" cm="1">
        <f t="array" aca="1" ref="N268" ca="1">IF(INDIRECT("'"&amp;B268&amp;"'!I"&amp;C268)=0,"N/A",INDIRECT("'"&amp;B268&amp;"'!I"&amp;C268))</f>
        <v>กำหนดให้มีการบันทึกข้อมูลเกี่ยวกับการตรวจสอบ เช่น กระดาษทำการ (working paper) และหลักฐานประกอบการตรวจ เป็นต้น เป็นระยะเวลาไม่น้อยกว่า 2 ปีนับแต่วันที่จัดทำรายงานและแผนดังกล่าว โดยต้องจัดเก็บไว้ในลักษณะที่พร้อมให้สำนักงานสามารถเรียกดูและตรวจสอบได้โดยไม่ชักช้า</v>
      </c>
      <c r="O268" s="533" t="str" cm="1">
        <f t="array" aca="1" ref="O268" ca="1">IF(INDIRECT("'"&amp;B268&amp;"'!N"&amp;C268)=0,"N/A",INDIRECT("'"&amp;B268&amp;"'!N"&amp;C268))</f>
        <v>N/A</v>
      </c>
      <c r="P268" s="527" t="str" cm="1">
        <f t="array" aca="1" ref="P268" ca="1">IF(INDIRECT("'"&amp;B268&amp;"'!L"&amp;C268)=0,"",INDIRECT("'"&amp;B268&amp;"'!L"&amp;C268))</f>
        <v>N/A</v>
      </c>
      <c r="Q268" s="527" t="str">
        <f t="shared" ca="1" si="33"/>
        <v>N/A</v>
      </c>
      <c r="R268" s="563" t="str">
        <f t="shared" ca="1" si="32"/>
        <v>Yes</v>
      </c>
      <c r="S268" s="528" t="s">
        <v>1575</v>
      </c>
      <c r="T268" s="529" t="str">
        <f t="shared" si="34"/>
        <v/>
      </c>
      <c r="U268" s="529" t="str">
        <f t="shared" si="35"/>
        <v>X</v>
      </c>
      <c r="V268" s="529" t="str">
        <f t="shared" si="36"/>
        <v/>
      </c>
      <c r="W268" s="529" t="str">
        <f t="shared" si="37"/>
        <v/>
      </c>
      <c r="X268" s="529" t="str">
        <f t="shared" si="38"/>
        <v/>
      </c>
      <c r="Y268" s="529" t="str">
        <f t="shared" si="39"/>
        <v/>
      </c>
    </row>
    <row r="269" spans="1:25" ht="25.05" x14ac:dyDescent="0.2">
      <c r="A269" s="253" t="s">
        <v>1518</v>
      </c>
      <c r="B269" s="253" t="s">
        <v>1643</v>
      </c>
      <c r="C269" s="253">
        <v>8</v>
      </c>
      <c r="D269" s="253" t="s">
        <v>1643</v>
      </c>
      <c r="E269" s="253">
        <v>3</v>
      </c>
      <c r="F269" s="253" t="s">
        <v>1571</v>
      </c>
      <c r="G269" s="215" t="str" cm="1">
        <f t="array" aca="1" ref="G269" ca="1">IF(INDIRECT("'"&amp;B269&amp;"'!B"&amp;C269)=0,"",INDIRECT("'"&amp;B269&amp;"'!B"&amp;C269))</f>
        <v>x</v>
      </c>
      <c r="H269" s="215" t="str" cm="1">
        <f t="array" aca="1" ref="H269" ca="1">IF(INDIRECT("'"&amp;B269&amp;"'!C"&amp;C269)=0,"",INDIRECT("'"&amp;B269&amp;"'!C"&amp;C269))</f>
        <v>x</v>
      </c>
      <c r="I269" s="215" t="str" cm="1">
        <f t="array" aca="1" ref="I269" ca="1">IF(INDIRECT("'"&amp;B269&amp;"'!D"&amp;C269)=0,"",INDIRECT("'"&amp;B269&amp;"'!D"&amp;C269))</f>
        <v>x</v>
      </c>
      <c r="J269" s="215" t="str" cm="1">
        <f t="array" aca="1" ref="J269" ca="1">IF(INDIRECT("'"&amp;B269&amp;"'!E"&amp;C269)=0,"",INDIRECT("'"&amp;B269&amp;"'!E"&amp;C269))</f>
        <v>x</v>
      </c>
      <c r="K269" s="253" cm="1">
        <f t="array" aca="1" ref="K269" ca="1">IF(INDIRECT("'"&amp;B269&amp;"'!F"&amp;C269)=0,"N/A",INDIRECT("'"&amp;B269&amp;"'!F"&amp;C269))</f>
        <v>4</v>
      </c>
      <c r="L269" s="253" t="str" cm="1">
        <f t="array" aca="1" ref="L269" ca="1">IF(INDIRECT("'"&amp;B269&amp;"'!G"&amp;C269)=0,"N/A",INDIRECT("'"&amp;B269&amp;"'!G"&amp;C269))</f>
        <v>N/A</v>
      </c>
      <c r="M269" s="253" cm="1">
        <f t="array" aca="1" ref="M269" ca="1">IF(INDIRECT("'"&amp;B269&amp;"'!H"&amp;C269)=0,"N/A",INDIRECT("'"&amp;B269&amp;"'!H"&amp;C269))</f>
        <v>4</v>
      </c>
      <c r="N269" s="221" t="str" cm="1">
        <f t="array" aca="1" ref="N269" ca="1">IF(INDIRECT("'"&amp;B269&amp;"'!I"&amp;C269)=0,"N/A",INDIRECT("'"&amp;B269&amp;"'!I"&amp;C269))</f>
        <v>จัดให้มีแผนการปรับปรุงแก้ไขข้อบกพร่องที่พบจากการตรวจสอบด้าน IT ที่เหมาะสมกับระดับความเสี่ยงจากข้อบกพร่อง และติดตามความคืบหน้าในการดำเนินการตามแผนดังกล่าว</v>
      </c>
      <c r="O269" s="533" t="str" cm="1">
        <f t="array" aca="1" ref="O269" ca="1">IF(INDIRECT("'"&amp;B269&amp;"'!N"&amp;C269)=0,"N/A",INDIRECT("'"&amp;B269&amp;"'!N"&amp;C269))</f>
        <v>Yes/Partial/No</v>
      </c>
      <c r="P269" s="527" t="str" cm="1">
        <f t="array" aca="1" ref="P269" ca="1">IF(INDIRECT("'"&amp;B269&amp;"'!L"&amp;C269)=0,"",INDIRECT("'"&amp;B269&amp;"'!L"&amp;C269))</f>
        <v/>
      </c>
      <c r="Q269" s="527" t="str">
        <f t="shared" ca="1" si="33"/>
        <v/>
      </c>
      <c r="R269" s="563" t="str">
        <f t="shared" ca="1" si="32"/>
        <v>Yes</v>
      </c>
      <c r="S269" s="528" t="s">
        <v>1575</v>
      </c>
      <c r="T269" s="529" t="str">
        <f t="shared" si="34"/>
        <v/>
      </c>
      <c r="U269" s="529" t="str">
        <f t="shared" si="35"/>
        <v>X</v>
      </c>
      <c r="V269" s="529" t="str">
        <f t="shared" si="36"/>
        <v/>
      </c>
      <c r="W269" s="529" t="str">
        <f t="shared" si="37"/>
        <v/>
      </c>
      <c r="X269" s="529" t="str">
        <f t="shared" si="38"/>
        <v/>
      </c>
      <c r="Y269" s="529" t="str">
        <f t="shared" si="39"/>
        <v/>
      </c>
    </row>
    <row r="270" spans="1:25" ht="37.6" x14ac:dyDescent="0.2">
      <c r="A270" s="253" t="s">
        <v>1521</v>
      </c>
      <c r="B270" s="253" t="s">
        <v>1643</v>
      </c>
      <c r="C270" s="253">
        <v>9</v>
      </c>
      <c r="D270" s="253" t="s">
        <v>1643</v>
      </c>
      <c r="E270" s="253">
        <v>3</v>
      </c>
      <c r="F270" s="253" t="s">
        <v>1571</v>
      </c>
      <c r="G270" s="215" t="str" cm="1">
        <f t="array" aca="1" ref="G270" ca="1">IF(INDIRECT("'"&amp;B270&amp;"'!B"&amp;C270)=0,"",INDIRECT("'"&amp;B270&amp;"'!B"&amp;C270))</f>
        <v>x</v>
      </c>
      <c r="H270" s="215" t="str" cm="1">
        <f t="array" aca="1" ref="H270" ca="1">IF(INDIRECT("'"&amp;B270&amp;"'!C"&amp;C270)=0,"",INDIRECT("'"&amp;B270&amp;"'!C"&amp;C270))</f>
        <v>x</v>
      </c>
      <c r="I270" s="215" t="str" cm="1">
        <f t="array" aca="1" ref="I270" ca="1">IF(INDIRECT("'"&amp;B270&amp;"'!D"&amp;C270)=0,"",INDIRECT("'"&amp;B270&amp;"'!D"&amp;C270))</f>
        <v>x</v>
      </c>
      <c r="J270" s="215" t="str" cm="1">
        <f t="array" aca="1" ref="J270" ca="1">IF(INDIRECT("'"&amp;B270&amp;"'!E"&amp;C270)=0,"",INDIRECT("'"&amp;B270&amp;"'!E"&amp;C270))</f>
        <v>x</v>
      </c>
      <c r="K270" s="253" cm="1">
        <f t="array" aca="1" ref="K270" ca="1">IF(INDIRECT("'"&amp;B270&amp;"'!F"&amp;C270)=0,"N/A",INDIRECT("'"&amp;B270&amp;"'!F"&amp;C270))</f>
        <v>5.0999999999999996</v>
      </c>
      <c r="L270" s="253" t="str" cm="1">
        <f t="array" aca="1" ref="L270" ca="1">IF(INDIRECT("'"&amp;B270&amp;"'!G"&amp;C270)=0,"N/A",INDIRECT("'"&amp;B270&amp;"'!G"&amp;C270))</f>
        <v>N/A</v>
      </c>
      <c r="M270" s="253" cm="1">
        <f t="array" aca="1" ref="M270" ca="1">IF(INDIRECT("'"&amp;B270&amp;"'!H"&amp;C270)=0,"N/A",INDIRECT("'"&amp;B270&amp;"'!H"&amp;C270))</f>
        <v>5.0999999999999996</v>
      </c>
      <c r="N270" s="221" t="str" cm="1">
        <f t="array" aca="1" ref="N270" ca="1">IF(INDIRECT("'"&amp;B270&amp;"'!I"&amp;C270)=0,"N/A",INDIRECT("'"&amp;B270&amp;"'!I"&amp;C270))</f>
        <v>มีการรายงานผลการตรวจสอบทางด้าน IT พร้อมกับแผนการปรับปรุงแก้ไขข้อบกพร่องต่อคณะกรรมการของผู้ประกอบธุรกิจ  คณะกรรมการตรวจสอบของผู้ประกอบธุรกิจ หรือคณะกรรมการที่ได้รับมอบหมายจากคณะกรรมการของผู้ประกอบธุรกิจเฉพาะกรณีเป็นสาขาของธนาคารพาณิชย์ต่างประเทศ โดยไม่ชักช้า</v>
      </c>
      <c r="O270" s="533" t="str" cm="1">
        <f t="array" aca="1" ref="O270" ca="1">IF(INDIRECT("'"&amp;B270&amp;"'!N"&amp;C270)=0,"N/A",INDIRECT("'"&amp;B270&amp;"'!N"&amp;C270))</f>
        <v>Yes/Partial/No</v>
      </c>
      <c r="P270" s="527" t="str" cm="1">
        <f t="array" aca="1" ref="P270" ca="1">IF(INDIRECT("'"&amp;B270&amp;"'!L"&amp;C270)=0,"",INDIRECT("'"&amp;B270&amp;"'!L"&amp;C270))</f>
        <v/>
      </c>
      <c r="Q270" s="527" t="str">
        <f t="shared" ca="1" si="33"/>
        <v/>
      </c>
      <c r="R270" s="563" t="str">
        <f t="shared" ca="1" si="32"/>
        <v>Yes</v>
      </c>
      <c r="S270" s="528" t="s">
        <v>1575</v>
      </c>
      <c r="T270" s="529" t="str">
        <f t="shared" si="34"/>
        <v/>
      </c>
      <c r="U270" s="529" t="str">
        <f t="shared" si="35"/>
        <v>X</v>
      </c>
      <c r="V270" s="529" t="str">
        <f t="shared" si="36"/>
        <v/>
      </c>
      <c r="W270" s="529" t="str">
        <f t="shared" si="37"/>
        <v/>
      </c>
      <c r="X270" s="529" t="str">
        <f t="shared" si="38"/>
        <v/>
      </c>
      <c r="Y270" s="529" t="str">
        <f t="shared" si="39"/>
        <v/>
      </c>
    </row>
    <row r="271" spans="1:25" ht="75.150000000000006" x14ac:dyDescent="0.2">
      <c r="A271" s="253" t="s">
        <v>1524</v>
      </c>
      <c r="B271" s="253" t="s">
        <v>1643</v>
      </c>
      <c r="C271" s="253">
        <v>10</v>
      </c>
      <c r="D271" s="253" t="s">
        <v>1643</v>
      </c>
      <c r="E271" s="253">
        <v>3</v>
      </c>
      <c r="F271" s="253" t="s">
        <v>1571</v>
      </c>
      <c r="G271" s="215" t="str" cm="1">
        <f t="array" aca="1" ref="G271" ca="1">IF(INDIRECT("'"&amp;B271&amp;"'!B"&amp;C271)=0,"",INDIRECT("'"&amp;B271&amp;"'!B"&amp;C271))</f>
        <v>x</v>
      </c>
      <c r="H271" s="215" t="str" cm="1">
        <f t="array" aca="1" ref="H271" ca="1">IF(INDIRECT("'"&amp;B271&amp;"'!C"&amp;C271)=0,"",INDIRECT("'"&amp;B271&amp;"'!C"&amp;C271))</f>
        <v>x</v>
      </c>
      <c r="I271" s="215" t="str" cm="1">
        <f t="array" aca="1" ref="I271" ca="1">IF(INDIRECT("'"&amp;B271&amp;"'!D"&amp;C271)=0,"",INDIRECT("'"&amp;B271&amp;"'!D"&amp;C271))</f>
        <v>x</v>
      </c>
      <c r="J271" s="215" t="str" cm="1">
        <f t="array" aca="1" ref="J271" ca="1">IF(INDIRECT("'"&amp;B271&amp;"'!E"&amp;C271)=0,"",INDIRECT("'"&amp;B271&amp;"'!E"&amp;C271))</f>
        <v>x</v>
      </c>
      <c r="K271" s="253" cm="1">
        <f t="array" aca="1" ref="K271" ca="1">IF(INDIRECT("'"&amp;B271&amp;"'!F"&amp;C271)=0,"N/A",INDIRECT("'"&amp;B271&amp;"'!F"&amp;C271))</f>
        <v>5.2</v>
      </c>
      <c r="L271" s="253" t="str" cm="1">
        <f t="array" aca="1" ref="L271" ca="1">IF(INDIRECT("'"&amp;B271&amp;"'!G"&amp;C271)=0,"N/A",INDIRECT("'"&amp;B271&amp;"'!G"&amp;C271))</f>
        <v>N/A</v>
      </c>
      <c r="M271" s="253" cm="1">
        <f t="array" aca="1" ref="M271" ca="1">IF(INDIRECT("'"&amp;B271&amp;"'!H"&amp;C271)=0,"N/A",INDIRECT("'"&amp;B271&amp;"'!H"&amp;C271))</f>
        <v>5.2</v>
      </c>
      <c r="N271" s="221" t="str" cm="1">
        <f t="array" aca="1" ref="N271" ca="1">IF(INDIRECT("'"&amp;B271&amp;"'!I"&amp;C271)=0,"N/A",INDIRECT("'"&amp;B271&amp;"'!I"&amp;C271))</f>
        <v>มีการรายงานผลต่อสำนักงานตามรูปแบบและวิธีการที่กำหนดไว้บนเว็บไซต์ของสำนักงาน ภายใน 3 เดือน* นับแต่วันสิ้นปีปฏิทินของปีที่เริ่มตรวจสอบตามข้อ 3.
* เว้นแต่ในกรณีที่เป็นผู้ประกอบธุรกิจสินทรัพย์ดิจิทัลที่มีหน้าที่ต้องรายงานผลการตรวจสอบตามประกาศคณะกรรมการกำกับหลักทรัพย์และตลาดหลักทรัพย์ ที่ กธ. 19/2561  เรื่อง หลักเกณฑ์ เงื่อนไขและวิธีการประกอบธุรกิจสินทรัพย์ดิจิทัล ให้ผู้ประกอบธุรกิจสินทรัพย์ดิจิทัลปฏิบัติตามประกาศ กธ. 19/2561</v>
      </c>
      <c r="O271" s="533" t="str" cm="1">
        <f t="array" aca="1" ref="O271" ca="1">IF(INDIRECT("'"&amp;B271&amp;"'!N"&amp;C271)=0,"N/A",INDIRECT("'"&amp;B271&amp;"'!N"&amp;C271))</f>
        <v>N/A</v>
      </c>
      <c r="P271" s="527" t="str" cm="1">
        <f t="array" aca="1" ref="P271" ca="1">IF(INDIRECT("'"&amp;B271&amp;"'!L"&amp;C271)=0,"",INDIRECT("'"&amp;B271&amp;"'!L"&amp;C271))</f>
        <v>N/A</v>
      </c>
      <c r="Q271" s="527" t="str">
        <f t="shared" ca="1" si="33"/>
        <v>N/A</v>
      </c>
      <c r="R271" s="563" t="str">
        <f t="shared" ca="1" si="32"/>
        <v>Yes</v>
      </c>
      <c r="S271" s="528" t="s">
        <v>1572</v>
      </c>
      <c r="T271" s="529" t="str">
        <f t="shared" si="34"/>
        <v>X</v>
      </c>
      <c r="U271" s="529" t="str">
        <f t="shared" si="35"/>
        <v/>
      </c>
      <c r="V271" s="529" t="str">
        <f t="shared" si="36"/>
        <v/>
      </c>
      <c r="W271" s="529" t="str">
        <f t="shared" si="37"/>
        <v/>
      </c>
      <c r="X271" s="529" t="str">
        <f t="shared" si="38"/>
        <v/>
      </c>
      <c r="Y271" s="529" t="str">
        <f t="shared" si="39"/>
        <v/>
      </c>
    </row>
    <row r="272" spans="1:25" ht="37.6" x14ac:dyDescent="0.2">
      <c r="A272" s="253" t="s">
        <v>1526</v>
      </c>
      <c r="B272" s="253" t="s">
        <v>1643</v>
      </c>
      <c r="C272" s="253">
        <v>11</v>
      </c>
      <c r="D272" s="253" t="s">
        <v>1643</v>
      </c>
      <c r="E272" s="253">
        <v>3</v>
      </c>
      <c r="F272" s="253" t="s">
        <v>1571</v>
      </c>
      <c r="G272" s="215" t="str" cm="1">
        <f t="array" aca="1" ref="G272" ca="1">IF(INDIRECT("'"&amp;B272&amp;"'!B"&amp;C272)=0,"",INDIRECT("'"&amp;B272&amp;"'!B"&amp;C272))</f>
        <v>x</v>
      </c>
      <c r="H272" s="215" t="str" cm="1">
        <f t="array" aca="1" ref="H272" ca="1">IF(INDIRECT("'"&amp;B272&amp;"'!C"&amp;C272)=0,"",INDIRECT("'"&amp;B272&amp;"'!C"&amp;C272))</f>
        <v>x</v>
      </c>
      <c r="I272" s="215" t="str" cm="1">
        <f t="array" aca="1" ref="I272" ca="1">IF(INDIRECT("'"&amp;B272&amp;"'!D"&amp;C272)=0,"",INDIRECT("'"&amp;B272&amp;"'!D"&amp;C272))</f>
        <v>x</v>
      </c>
      <c r="J272" s="215" t="str" cm="1">
        <f t="array" aca="1" ref="J272" ca="1">IF(INDIRECT("'"&amp;B272&amp;"'!E"&amp;C272)=0,"",INDIRECT("'"&amp;B272&amp;"'!E"&amp;C272))</f>
        <v>x</v>
      </c>
      <c r="K272" s="253" cm="1">
        <f t="array" aca="1" ref="K272" ca="1">IF(INDIRECT("'"&amp;B272&amp;"'!F"&amp;C272)=0,"N/A",INDIRECT("'"&amp;B272&amp;"'!F"&amp;C272))</f>
        <v>5.3</v>
      </c>
      <c r="L272" s="253" t="str" cm="1">
        <f t="array" aca="1" ref="L272" ca="1">IF(INDIRECT("'"&amp;B272&amp;"'!G"&amp;C272)=0,"N/A",INDIRECT("'"&amp;B272&amp;"'!G"&amp;C272))</f>
        <v>N/A</v>
      </c>
      <c r="M272" s="253" cm="1">
        <f t="array" aca="1" ref="M272" ca="1">IF(INDIRECT("'"&amp;B272&amp;"'!H"&amp;C272)=0,"N/A",INDIRECT("'"&amp;B272&amp;"'!H"&amp;C272))</f>
        <v>5.3</v>
      </c>
      <c r="N272" s="221" t="str" cm="1">
        <f t="array" aca="1" ref="N272" ca="1">IF(INDIRECT("'"&amp;B272&amp;"'!I"&amp;C272)=0,"N/A",INDIRECT("'"&amp;B272&amp;"'!I"&amp;C272))</f>
        <v>มีการจัดเก็บรายงานผลการตรวจสอบและแผนการปรับปรุงแก้ไขข้อบกพร่องดังกล่าวไม่น้อยกว่า 2 ปี นับแต่วันที่จัดทำรายงานและแผนดังกล่าว โดยต้องจัดเก็บไว้ในลักษณะที่พร้อมให้สำนักงานสามารถเรียกดูและตรวจสอบได้โดยไม่ชักช้า</v>
      </c>
      <c r="O272" s="533" t="str" cm="1">
        <f t="array" aca="1" ref="O272" ca="1">IF(INDIRECT("'"&amp;B272&amp;"'!N"&amp;C272)=0,"N/A",INDIRECT("'"&amp;B272&amp;"'!N"&amp;C272))</f>
        <v>N/A</v>
      </c>
      <c r="P272" s="527" t="str" cm="1">
        <f t="array" aca="1" ref="P272" ca="1">IF(INDIRECT("'"&amp;B272&amp;"'!L"&amp;C272)=0,"",INDIRECT("'"&amp;B272&amp;"'!L"&amp;C272))</f>
        <v>N/A</v>
      </c>
      <c r="Q272" s="527" t="str">
        <f t="shared" ca="1" si="33"/>
        <v>N/A</v>
      </c>
      <c r="R272" s="563" t="str">
        <f t="shared" ca="1" si="32"/>
        <v>Yes</v>
      </c>
      <c r="S272" s="528" t="s">
        <v>1575</v>
      </c>
      <c r="T272" s="529" t="str">
        <f t="shared" si="34"/>
        <v/>
      </c>
      <c r="U272" s="529" t="str">
        <f t="shared" si="35"/>
        <v>X</v>
      </c>
      <c r="V272" s="529" t="str">
        <f t="shared" si="36"/>
        <v/>
      </c>
      <c r="W272" s="529" t="str">
        <f t="shared" si="37"/>
        <v/>
      </c>
      <c r="X272" s="529" t="str">
        <f t="shared" si="38"/>
        <v/>
      </c>
      <c r="Y272" s="529" t="str">
        <f t="shared" si="39"/>
        <v/>
      </c>
    </row>
    <row r="273" spans="1:33" x14ac:dyDescent="0.2">
      <c r="A273" s="355"/>
      <c r="B273" s="355"/>
      <c r="C273" s="355"/>
      <c r="D273" s="355"/>
      <c r="E273" s="355"/>
      <c r="F273" s="355"/>
      <c r="G273" s="334"/>
      <c r="H273" s="334"/>
      <c r="I273" s="334"/>
      <c r="J273" s="334"/>
      <c r="K273" s="334"/>
      <c r="L273" s="334"/>
      <c r="M273" s="334"/>
      <c r="N273" s="334"/>
      <c r="O273" s="674"/>
      <c r="P273" s="355"/>
      <c r="Q273" s="355"/>
      <c r="R273" s="355"/>
      <c r="S273" s="535"/>
      <c r="T273" s="536">
        <f ca="1">IFERROR(
  (SUMIFS($Q$2:$Q$272, T2:T272,"X",$P$2:$P$272,"&lt;&gt;N/A"))/
(COUNTIFS(T2:T272, "X",$P$2:$P$272,"&lt;&gt;N/A")) / 3, 0
)</f>
        <v>0</v>
      </c>
      <c r="U273" s="536">
        <f t="shared" ref="U273:X273" ca="1" si="40">IFERROR(
  (SUMIFS($Q$2:$Q$272, U2:U272,"X",$P$2:$P$272,"&lt;&gt;N/A"))/
(COUNTIFS(U2:U272, "X",$P$2:$P$272,"&lt;&gt;N/A")) / 3, 0
)</f>
        <v>0</v>
      </c>
      <c r="V273" s="536">
        <f t="shared" ca="1" si="40"/>
        <v>0</v>
      </c>
      <c r="W273" s="536">
        <f t="shared" ca="1" si="40"/>
        <v>0</v>
      </c>
      <c r="X273" s="536">
        <f t="shared" ca="1" si="40"/>
        <v>0</v>
      </c>
      <c r="Y273" s="536">
        <f ca="1">IFERROR(
  (SUMIFS($Q$2:$Q$272, Y2:Y272,"X",$P$2:$P$272,"&lt;&gt;N/A"))/
(COUNTIFS(Y2:Y272, "X",$P$2:$P$272,"&lt;&gt;N/A")) / 3, 0
)</f>
        <v>0</v>
      </c>
    </row>
    <row r="274" spans="1:33" ht="13.15" thickBot="1" x14ac:dyDescent="0.25">
      <c r="S274" s="564"/>
    </row>
    <row r="275" spans="1:33" ht="13.15" thickBot="1" x14ac:dyDescent="0.25">
      <c r="AA275" s="575" t="s">
        <v>1644</v>
      </c>
      <c r="AB275" s="574" t="s">
        <v>1563</v>
      </c>
      <c r="AC275" s="569" t="s">
        <v>1564</v>
      </c>
      <c r="AD275" s="570" t="s">
        <v>1565</v>
      </c>
      <c r="AE275" s="571" t="s">
        <v>1566</v>
      </c>
      <c r="AF275" s="572" t="s">
        <v>1567</v>
      </c>
      <c r="AG275" s="573" t="s">
        <v>1568</v>
      </c>
    </row>
    <row r="276" spans="1:33" ht="36.950000000000003" customHeight="1" x14ac:dyDescent="0.2">
      <c r="AA276" s="583" t="str">
        <f>'1. Basic info'!C26</f>
        <v>ผู้ประกอบธุรกิจขนาดเล็ก**</v>
      </c>
      <c r="AB276" s="584">
        <f t="shared" ref="AB276:AF276" ca="1" si="41">IF($AA$276="สูง",AB$277,IF($AA$276="ปานกลาง",AB$278,IF($AA$276="ต่ำ**",AB$279,AB$280)))</f>
        <v>0</v>
      </c>
      <c r="AC276" s="584">
        <f t="shared" ca="1" si="41"/>
        <v>0</v>
      </c>
      <c r="AD276" s="584">
        <f t="shared" ca="1" si="41"/>
        <v>0</v>
      </c>
      <c r="AE276" s="584">
        <f t="shared" ca="1" si="41"/>
        <v>0</v>
      </c>
      <c r="AF276" s="584">
        <f t="shared" ca="1" si="41"/>
        <v>0</v>
      </c>
      <c r="AG276" s="585" t="str">
        <f ca="1">IF($AA$276="สูง",AG$277,IF($AA$276="ปานกลาง",AG$278,IF($AA$276="ต่ำ**",AG$279,IF($AA$276="ผู้ประกอบธุรกิจขนาดเล็ก**",AG$280))))</f>
        <v>N/A</v>
      </c>
    </row>
    <row r="277" spans="1:33" x14ac:dyDescent="0.2">
      <c r="AA277" s="577" t="s">
        <v>1645</v>
      </c>
      <c r="AB277" s="578">
        <f ca="1">(SUMIFS($Q$2:$Q$272,$G$2:$G$272,"x", T$2:T$272,"X",$R$2:$R$272,"&lt;&gt;Yes")/3)/(COUNTIFS($G$2:$G$272,"x",T$2:T$272,"X")-COUNTIFS($G$2:$G$272,"x",T$2:T$272,"X",$Q$2:$Q$272,"N/A"))</f>
        <v>0</v>
      </c>
      <c r="AC277" s="578">
        <f t="shared" ref="AC277:AG277" ca="1" si="42">(SUMIFS($Q$2:$Q$272,$G$2:$G$272,"x", U$2:U$272,"X",$R$2:$R$272,"&lt;&gt;Yes")/3)/(COUNTIFS($G$2:$G$272,"x",U$2:U$272,"X")-COUNTIFS($G$2:$G$272,"x",U$2:U$272,"X",$Q$2:$Q$272,"N/A"))</f>
        <v>0</v>
      </c>
      <c r="AD277" s="578">
        <f t="shared" ca="1" si="42"/>
        <v>0</v>
      </c>
      <c r="AE277" s="578">
        <f t="shared" ca="1" si="42"/>
        <v>0</v>
      </c>
      <c r="AF277" s="578">
        <f t="shared" ca="1" si="42"/>
        <v>0</v>
      </c>
      <c r="AG277" s="579">
        <f t="shared" ca="1" si="42"/>
        <v>0</v>
      </c>
    </row>
    <row r="278" spans="1:33" ht="25.05" x14ac:dyDescent="0.2">
      <c r="AA278" s="580" t="s">
        <v>1646</v>
      </c>
      <c r="AB278" s="581">
        <f ca="1">(SUMIFS($Q$2:$Q$272,$H$2:$H$272,"x", T$2:T$272,"X",$R$2:$R$272,"&lt;&gt;Yes")/3)/(COUNTIFS($H$2:$H$272,"x",T$2:T$272,"X")-COUNTIFS($H$2:$H$272,"x",T$2:T$272,"X",$Q$2:$Q$272,"N/A"))</f>
        <v>0</v>
      </c>
      <c r="AC278" s="581">
        <f t="shared" ref="AC278:AG278" ca="1" si="43">(SUMIFS($Q$2:$Q$272,$H$2:$H$272,"x", U$2:U$272,"X",$R$2:$R$272,"&lt;&gt;Yes")/3)/(COUNTIFS($H$2:$H$272,"x",U$2:U$272,"X")-COUNTIFS($H$2:$H$272,"x",U$2:U$272,"X",$Q$2:$Q$272,"N/A"))</f>
        <v>0</v>
      </c>
      <c r="AD278" s="581">
        <f t="shared" ca="1" si="43"/>
        <v>0</v>
      </c>
      <c r="AE278" s="581">
        <f t="shared" ca="1" si="43"/>
        <v>0</v>
      </c>
      <c r="AF278" s="581">
        <f t="shared" ca="1" si="43"/>
        <v>0</v>
      </c>
      <c r="AG278" s="582">
        <f t="shared" ca="1" si="43"/>
        <v>0</v>
      </c>
    </row>
    <row r="279" spans="1:33" x14ac:dyDescent="0.2">
      <c r="AA279" s="580" t="s">
        <v>1647</v>
      </c>
      <c r="AB279" s="581">
        <f ca="1">(SUMIFS($Q$2:$Q$272,$I$2:$I$272,"x", T$2:T$272,"X",$R$2:$R$272,"&lt;&gt;Yes")/3)/(COUNTIFS($I$2:$I$272,"x",T$2:T$272,"X")-COUNTIFS($I$2:$I$272,"x",T$2:T$272,"X",$Q$2:$Q$272,"N/A"))</f>
        <v>0</v>
      </c>
      <c r="AC279" s="581">
        <f t="shared" ref="AC279:AG279" ca="1" si="44">(SUMIFS($Q$2:$Q$272,$I$2:$I$272,"x", U$2:U$272,"X",$R$2:$R$272,"&lt;&gt;Yes")/3)/(COUNTIFS($I$2:$I$272,"x",U$2:U$272,"X")-COUNTIFS($I$2:$I$272,"x",U$2:U$272,"X",$Q$2:$Q$272,"N/A"))</f>
        <v>0</v>
      </c>
      <c r="AD279" s="581">
        <f t="shared" ca="1" si="44"/>
        <v>0</v>
      </c>
      <c r="AE279" s="581">
        <f t="shared" ca="1" si="44"/>
        <v>0</v>
      </c>
      <c r="AF279" s="581">
        <f t="shared" ca="1" si="44"/>
        <v>0</v>
      </c>
      <c r="AG279" s="582">
        <f t="shared" ca="1" si="44"/>
        <v>0</v>
      </c>
    </row>
    <row r="280" spans="1:33" ht="25.7" thickBot="1" x14ac:dyDescent="0.25">
      <c r="AA280" s="576" t="s">
        <v>1648</v>
      </c>
      <c r="AB280" s="567">
        <f ca="1">(SUMIFS($Q$2:$Q$272,$J$2:$J$272,"x", T$2:T$272,"X",$R$2:$R$272,"&lt;&gt;Yes")/3)/(COUNTIFS($J$2:$J$272,"x",T$2:T$272,"X")-COUNTIFS($J$2:$J$272,"x",T$2:T$272,"X",$Q$2:$Q$272,"N/A"))</f>
        <v>0</v>
      </c>
      <c r="AC280" s="567">
        <f t="shared" ref="AC280:AF280" ca="1" si="45">(SUMIFS($Q$2:$Q$272,$J$2:$J$272,"x", U$2:U$272,"X",$R$2:$R$272,"&lt;&gt;Yes")/3)/(COUNTIFS($J$2:$J$272,"x",U$2:U$272,"X")-COUNTIFS($J$2:$J$272,"x",U$2:U$272,"X",$Q$2:$Q$272,"N/A"))</f>
        <v>0</v>
      </c>
      <c r="AD280" s="567">
        <f t="shared" ca="1" si="45"/>
        <v>0</v>
      </c>
      <c r="AE280" s="567">
        <f t="shared" ca="1" si="45"/>
        <v>0</v>
      </c>
      <c r="AF280" s="567">
        <f t="shared" ca="1" si="45"/>
        <v>0</v>
      </c>
      <c r="AG280" s="568" t="str">
        <f ca="1">IFERROR((SUMIFS($Q$2:$Q$272,$J$2:$J$272,"x", Y$2:Y$272,"X",$R$2:$R$272,"&lt;&gt;Yes")/3)/(COUNTIFS($J$2:$J$272,"x",Y$2:Y$272,"X")-COUNTIFS($J$2:$J$272,"x",Y$2:Y$272,"X",$Q$2:$Q$272,"N/A")),"N/A")</f>
        <v>N/A</v>
      </c>
    </row>
    <row r="281" spans="1:33" x14ac:dyDescent="0.2">
      <c r="S281" s="564"/>
    </row>
  </sheetData>
  <sheetProtection formatColumns="0" formatRows="0" autoFilter="0"/>
  <autoFilter ref="A1:Y278" xr:uid="{28D63E45-BEE1-4974-82E3-01C68348CF98}"/>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5BC01E-EC29-4963-98AB-A05CDAFF7DF7}">
  <sheetPr codeName="Sheet9">
    <tabColor theme="9" tint="0.39997558519241921"/>
  </sheetPr>
  <dimension ref="A1:AZ96"/>
  <sheetViews>
    <sheetView tabSelected="1" zoomScale="85" zoomScaleNormal="85" workbookViewId="0">
      <selection activeCell="L24" sqref="L24"/>
    </sheetView>
  </sheetViews>
  <sheetFormatPr defaultColWidth="9.19921875" defaultRowHeight="12.55" x14ac:dyDescent="0.25"/>
  <cols>
    <col min="1" max="1" width="9.19921875" style="557" customWidth="1"/>
    <col min="2" max="2" width="48.09765625" style="558" customWidth="1"/>
    <col min="3" max="3" width="19.69921875" style="550" hidden="1" customWidth="1"/>
    <col min="4" max="4" width="10.69921875" style="550" bestFit="1" customWidth="1"/>
    <col min="5" max="5" width="7.69921875" style="549" customWidth="1"/>
    <col min="6" max="6" width="7.09765625" style="549" customWidth="1"/>
    <col min="7" max="7" width="8.8984375" style="549" customWidth="1"/>
    <col min="8" max="10" width="7.09765625" style="549" customWidth="1"/>
    <col min="11" max="11" width="14.8984375" style="549" customWidth="1"/>
    <col min="12" max="12" width="14.09765625" style="549" customWidth="1"/>
    <col min="13" max="13" width="9.19921875" style="549" bestFit="1" customWidth="1"/>
    <col min="14" max="14" width="10.69921875" style="549" bestFit="1" customWidth="1"/>
    <col min="15" max="15" width="9.19921875" style="549" customWidth="1"/>
    <col min="16" max="18" width="7.09765625" style="549" customWidth="1"/>
    <col min="19" max="19" width="15.8984375" style="549" customWidth="1"/>
    <col min="20" max="20" width="15.8984375" style="549" hidden="1" customWidth="1"/>
    <col min="21" max="52" width="15.8984375" style="550" hidden="1" customWidth="1"/>
    <col min="53" max="53" width="15.8984375" style="550" customWidth="1"/>
    <col min="54" max="16384" width="9.19921875" style="550"/>
  </cols>
  <sheetData>
    <row r="1" spans="1:34" s="544" customFormat="1" ht="15.05" x14ac:dyDescent="0.25">
      <c r="A1" s="539" t="s">
        <v>1649</v>
      </c>
      <c r="B1" s="540"/>
      <c r="C1" s="541"/>
      <c r="D1" s="542"/>
      <c r="E1" s="541"/>
      <c r="F1" s="150"/>
      <c r="G1" s="150"/>
      <c r="H1" s="150"/>
      <c r="I1" s="150"/>
      <c r="J1" s="541"/>
      <c r="K1" s="541"/>
      <c r="L1" s="541"/>
      <c r="M1" s="541"/>
      <c r="N1" s="541"/>
      <c r="O1" s="541"/>
      <c r="P1" s="150"/>
      <c r="Q1" s="150"/>
      <c r="R1" s="150"/>
      <c r="S1" s="541"/>
      <c r="T1" s="543"/>
    </row>
    <row r="2" spans="1:34" s="546" customFormat="1" ht="42.6" customHeight="1" thickBot="1" x14ac:dyDescent="0.3">
      <c r="A2" s="664"/>
      <c r="B2" s="665" t="s">
        <v>1650</v>
      </c>
      <c r="C2" s="664"/>
      <c r="E2" s="545"/>
      <c r="F2" s="545"/>
      <c r="G2" s="545"/>
      <c r="H2" s="545"/>
      <c r="I2" s="545"/>
      <c r="J2" s="545"/>
      <c r="K2" s="545"/>
      <c r="L2" s="545"/>
      <c r="M2" s="545"/>
      <c r="N2" s="545"/>
      <c r="O2" s="545"/>
      <c r="P2" s="545"/>
      <c r="Q2" s="545"/>
      <c r="R2" s="545"/>
      <c r="S2" s="545"/>
      <c r="T2" s="545"/>
    </row>
    <row r="3" spans="1:34" s="548" customFormat="1" x14ac:dyDescent="0.25">
      <c r="A3" s="739" t="s">
        <v>1651</v>
      </c>
      <c r="B3" s="739" t="s">
        <v>1652</v>
      </c>
      <c r="C3" s="741" t="s">
        <v>1653</v>
      </c>
      <c r="D3" s="742" t="s">
        <v>1654</v>
      </c>
      <c r="E3" s="743"/>
      <c r="F3" s="743"/>
      <c r="G3" s="743"/>
      <c r="H3" s="743"/>
      <c r="I3" s="743"/>
      <c r="J3" s="743"/>
      <c r="K3" s="743"/>
      <c r="L3" s="743"/>
      <c r="M3" s="744"/>
      <c r="N3" s="745" t="s">
        <v>1655</v>
      </c>
      <c r="O3" s="746"/>
      <c r="P3" s="746"/>
      <c r="Q3" s="746"/>
      <c r="R3" s="746"/>
      <c r="S3" s="747"/>
      <c r="T3" s="547"/>
    </row>
    <row r="4" spans="1:34" s="548" customFormat="1" x14ac:dyDescent="0.25">
      <c r="A4" s="740"/>
      <c r="B4" s="740"/>
      <c r="C4" s="741"/>
      <c r="D4" s="748" t="s">
        <v>1656</v>
      </c>
      <c r="E4" s="749" t="s">
        <v>1657</v>
      </c>
      <c r="F4" s="750"/>
      <c r="G4" s="750"/>
      <c r="H4" s="750"/>
      <c r="I4" s="750"/>
      <c r="J4" s="751"/>
      <c r="K4" s="752" t="s">
        <v>1658</v>
      </c>
      <c r="L4" s="752" t="s">
        <v>1659</v>
      </c>
      <c r="M4" s="754" t="s">
        <v>1660</v>
      </c>
      <c r="N4" s="732" t="s">
        <v>1661</v>
      </c>
      <c r="O4" s="734" t="s">
        <v>1657</v>
      </c>
      <c r="P4" s="735"/>
      <c r="Q4" s="735"/>
      <c r="R4" s="736"/>
      <c r="S4" s="737" t="s">
        <v>1662</v>
      </c>
      <c r="T4" s="547"/>
    </row>
    <row r="5" spans="1:34" s="548" customFormat="1" ht="25.05" x14ac:dyDescent="0.25">
      <c r="A5" s="740"/>
      <c r="B5" s="740"/>
      <c r="C5" s="741"/>
      <c r="D5" s="748"/>
      <c r="E5" s="500" t="s">
        <v>214</v>
      </c>
      <c r="F5" s="500" t="s">
        <v>1663</v>
      </c>
      <c r="G5" s="500" t="s">
        <v>1664</v>
      </c>
      <c r="H5" s="500" t="s">
        <v>1665</v>
      </c>
      <c r="I5" s="500">
        <v>4</v>
      </c>
      <c r="J5" s="500">
        <v>5</v>
      </c>
      <c r="K5" s="753"/>
      <c r="L5" s="753"/>
      <c r="M5" s="755"/>
      <c r="N5" s="733"/>
      <c r="O5" s="500" t="s">
        <v>214</v>
      </c>
      <c r="P5" s="500" t="s">
        <v>1666</v>
      </c>
      <c r="Q5" s="500" t="s">
        <v>1667</v>
      </c>
      <c r="R5" s="500" t="s">
        <v>1668</v>
      </c>
      <c r="S5" s="738"/>
      <c r="T5" s="547"/>
    </row>
    <row r="6" spans="1:34" x14ac:dyDescent="0.25">
      <c r="A6" s="598">
        <v>1</v>
      </c>
      <c r="B6" s="598" t="s">
        <v>1669</v>
      </c>
      <c r="C6" s="604" t="s">
        <v>1670</v>
      </c>
      <c r="D6" s="3">
        <f>COUNTIFS(RawData!$D1:$D$272,"D1",RawData!$F1:$F272,"N")</f>
        <v>28</v>
      </c>
      <c r="E6" s="5">
        <f t="shared" ref="E6:J6" ca="1" si="0">SUM(E7:E9)</f>
        <v>0</v>
      </c>
      <c r="F6" s="5">
        <f t="shared" ca="1" si="0"/>
        <v>0</v>
      </c>
      <c r="G6" s="5">
        <f t="shared" ca="1" si="0"/>
        <v>0</v>
      </c>
      <c r="H6" s="5">
        <f t="shared" ca="1" si="0"/>
        <v>0</v>
      </c>
      <c r="I6" s="5">
        <f t="shared" ca="1" si="0"/>
        <v>0</v>
      </c>
      <c r="J6" s="5">
        <f t="shared" ca="1" si="0"/>
        <v>0</v>
      </c>
      <c r="K6" s="594">
        <f t="shared" ref="K6:K36" ca="1" si="1">IFERROR( ((F6*1)+(G6*2)+(H6*3)+(I6*3)+(J6*3))/(D6-E6),"N/A")</f>
        <v>0</v>
      </c>
      <c r="L6" s="594">
        <f ca="1">IFERROR(((I6*1)+(J6*2))/(COUNTIFS(RawData!$D$1:$D$271,"D1",RawData!$F$1:$F$271,"N",RawData!$O$1:$O$271,"Maturity")-COUNTIFS(RawData!$D$1:$D$271,"D1",RawData!$F$1:$F$271,"N",RawData!$O$1:$O$271,"Maturity",RawData!$P$1:$P$271,"N/A")),0)</f>
        <v>0</v>
      </c>
      <c r="M6" s="610">
        <f ca="1">IFERROR(K6+L6,"N/A")</f>
        <v>0</v>
      </c>
      <c r="N6" s="618">
        <f>COUNTIFS(RawData!$D1:$D$272,"D1",RawData!$F1:$F272,"Y")</f>
        <v>4</v>
      </c>
      <c r="O6" s="4">
        <f ca="1">SUM(O7:O9)</f>
        <v>0</v>
      </c>
      <c r="P6" s="4">
        <f ca="1">SUM(P7:P9)</f>
        <v>0</v>
      </c>
      <c r="Q6" s="4">
        <f ca="1">SUM(Q7:Q9)</f>
        <v>0</v>
      </c>
      <c r="R6" s="4">
        <f ca="1">SUM(R7:R9)</f>
        <v>0</v>
      </c>
      <c r="S6" s="619">
        <f ca="1">IFERROR(R6/(N6-O6),0)</f>
        <v>0</v>
      </c>
      <c r="AC6" s="550">
        <v>1</v>
      </c>
      <c r="AD6" s="550">
        <v>5</v>
      </c>
      <c r="AE6" s="550">
        <v>4</v>
      </c>
      <c r="AF6" s="550">
        <v>3</v>
      </c>
      <c r="AG6" s="550">
        <v>2</v>
      </c>
      <c r="AH6" s="550">
        <v>1</v>
      </c>
    </row>
    <row r="7" spans="1:34" x14ac:dyDescent="0.25">
      <c r="A7" s="638" t="s">
        <v>209</v>
      </c>
      <c r="B7" s="599" t="s">
        <v>1671</v>
      </c>
      <c r="C7" s="605"/>
      <c r="D7" s="6">
        <f>COUNTIFS(RawData!$E1:$E$272,"1.1",RawData!$F1:$F272,"N")</f>
        <v>7</v>
      </c>
      <c r="E7" s="7">
        <f ca="1">COUNTIFS(RawData!$E$1:$E$272,"1.1",RawData!$F$1:$F$272,"N",RawData!$P$1:$P$272,"N/A")</f>
        <v>0</v>
      </c>
      <c r="F7" s="7">
        <f ca="1">SUM(COUNTIFS(RawData!$E$1:$E$272,"1.1",RawData!$F$1:$F$272,"N",RawData!$P$1:$P$272,"No"),COUNTIFS(RawData!$E$1:$E$272,"1.1",RawData!$F$1:$F$272,"N",RawData!$P$1:$P$272,"M1"))</f>
        <v>0</v>
      </c>
      <c r="G7" s="7">
        <f ca="1">SUM(COUNTIFS(RawData!$E$1:$E$272,"1.1",RawData!$F$1:$F$272,"N",RawData!$P$1:$P$272,"Partial"),COUNTIFS(RawData!$E$1:$E$272,"1.1",RawData!$F$1:$F$272,"N",RawData!$P$1:$P$272,"M2"))</f>
        <v>0</v>
      </c>
      <c r="H7" s="7">
        <f ca="1">SUM(COUNTIFS(RawData!$E$1:$E$272,"1.1",RawData!$F$1:$F$272,"N",RawData!$P$1:$P$272,"Yes"),COUNTIFS(RawData!$E$1:$E$272,"1.1",RawData!$F$1:$F$272,"N",RawData!$P$1:$P$272,"M3"))</f>
        <v>0</v>
      </c>
      <c r="I7" s="7">
        <f ca="1">COUNTIFS(RawData!$E$1:$E$272,"1.1",RawData!$F$1:$F$272,"N",RawData!$P$1:$P$272,"M4")</f>
        <v>0</v>
      </c>
      <c r="J7" s="7">
        <f ca="1">COUNTIFS(RawData!$E$1:$E$272,"1.1",RawData!$F$1:$F$272,"N",RawData!$P$1:$P$272,"M5")</f>
        <v>0</v>
      </c>
      <c r="K7" s="595">
        <f t="shared" ca="1" si="1"/>
        <v>0</v>
      </c>
      <c r="L7" s="595">
        <f ca="1">IFERROR(((I7*1)+(J7*2))/(COUNTIFS(RawData!$D$1:$D$271,"D1",RawData!$F$1:$F$271,"N",RawData!$O$1:$O$271,"Maturity")-COUNTIFS(RawData!$D$1:$D$271,"D1",RawData!$F$1:$F$271,"N",RawData!$O$1:$O$271,"Maturity",RawData!$P$1:$P$271,"N/A")),0)</f>
        <v>0</v>
      </c>
      <c r="M7" s="611">
        <f t="shared" ref="M7:M9" ca="1" si="2">IFERROR(K7+L7,"N/A")</f>
        <v>0</v>
      </c>
      <c r="N7" s="620"/>
      <c r="O7" s="8"/>
      <c r="P7" s="8"/>
      <c r="Q7" s="8"/>
      <c r="R7" s="8"/>
      <c r="S7" s="621"/>
      <c r="AD7" s="550">
        <v>5</v>
      </c>
      <c r="AE7" s="550">
        <v>4</v>
      </c>
      <c r="AF7" s="550">
        <v>3</v>
      </c>
      <c r="AG7" s="550">
        <v>2</v>
      </c>
      <c r="AH7" s="550">
        <v>1</v>
      </c>
    </row>
    <row r="8" spans="1:34" x14ac:dyDescent="0.25">
      <c r="A8" s="638" t="s">
        <v>1672</v>
      </c>
      <c r="B8" s="599" t="s">
        <v>1673</v>
      </c>
      <c r="C8" s="605"/>
      <c r="D8" s="6">
        <f>COUNTIFS(RawData!$E1:$E$272,"1.2",RawData!$F1:$F272,"N")</f>
        <v>1</v>
      </c>
      <c r="E8" s="7">
        <f ca="1">COUNTIFS(RawData!$E$1:$E$272,"1.2",RawData!$F$1:$F$272,"N",RawData!$P$1:$P$272,"N/A")</f>
        <v>0</v>
      </c>
      <c r="F8" s="7">
        <f ca="1">SUM(COUNTIFS(RawData!$E$1:$E$272,"1.2",RawData!$F$1:$F$272,"N",RawData!$P$1:$P$272,"No"),COUNTIFS(RawData!$E$1:$E$272,"1.2",RawData!$F$1:$F$272,"N",RawData!$P$1:$P$272,"M1"))</f>
        <v>0</v>
      </c>
      <c r="G8" s="7">
        <f ca="1">SUM(COUNTIFS(RawData!$E$1:$E$272,"1.2",RawData!$F$1:$F$272,"N",RawData!$P$1:$P$272,"Partial"),COUNTIFS(RawData!$E$1:$E$272,"1.2",RawData!$F$1:$F$272,"N",RawData!$P$1:$P$272,"M2"))</f>
        <v>0</v>
      </c>
      <c r="H8" s="7">
        <f ca="1">SUM(COUNTIFS(RawData!$E$1:$E$272,"1.2",RawData!$F$1:$F$272,"N",RawData!$P$1:$P$272,"Yes"),COUNTIFS(RawData!$E$1:$E$272,"1.2",RawData!$F$1:$F$272,"N",RawData!$P$1:$P$272,"M3"))</f>
        <v>0</v>
      </c>
      <c r="I8" s="7">
        <f ca="1">COUNTIFS(RawData!$E$1:$E$272,"1.2",RawData!$F$1:$F$272,"N",RawData!$P$1:$P$272,"M4")</f>
        <v>0</v>
      </c>
      <c r="J8" s="7">
        <f ca="1">COUNTIFS(RawData!$E$1:$E$272,"1.2",RawData!$F$1:$F$272,"N",RawData!$P$1:$P$272,"M5")</f>
        <v>0</v>
      </c>
      <c r="K8" s="595">
        <f t="shared" ca="1" si="1"/>
        <v>0</v>
      </c>
      <c r="L8" s="595">
        <f ca="1">IFERROR(((I8*1)+(J8*2))/(COUNTIFS(RawData!$D$1:$D$271,"D1",RawData!$F$1:$F$271,"N",RawData!$O$1:$O$271,"Maturity")-COUNTIFS(RawData!$D$1:$D$271,"D1",RawData!$F$1:$F$271,"N",RawData!$O$1:$O$271,"Maturity",RawData!$P$1:$P$271,"N/A")),0)</f>
        <v>0</v>
      </c>
      <c r="M8" s="611">
        <f t="shared" ca="1" si="2"/>
        <v>0</v>
      </c>
      <c r="N8" s="620">
        <f>COUNTIFS(RawData!$E1:$E$272,"1.2",RawData!$F1:$F272,"Y")</f>
        <v>3</v>
      </c>
      <c r="O8" s="9">
        <f ca="1">COUNTIFS(RawData!$E$1:$E$272,"1.2",RawData!$F$1:$F$272,"Y",RawData!$P$1:$P$272,"N/A")</f>
        <v>0</v>
      </c>
      <c r="P8" s="9">
        <f ca="1">COUNTIFS(RawData!$E$1:$E$272,"1.2",RawData!$F$1:$F$272,"Y",RawData!$P$1:$P$272,"No")</f>
        <v>0</v>
      </c>
      <c r="Q8" s="9">
        <f ca="1">COUNTIFS(RawData!$E$1:$E$272,"1.2",RawData!$F$1:$F$272,"Y",RawData!$P$1:$P$272,"Partial")</f>
        <v>0</v>
      </c>
      <c r="R8" s="9">
        <f ca="1">COUNTIFS(RawData!$E$1:$E$272,"1.2",RawData!$F$1:$F$272,"Y",RawData!$P$1:$P$272,"Yes")</f>
        <v>0</v>
      </c>
      <c r="S8" s="622">
        <f t="shared" ref="S8:S35" ca="1" si="3">IFERROR(R8/(N8-O8),0)</f>
        <v>0</v>
      </c>
      <c r="T8" s="549">
        <f ca="1">IFERROR((K8*5/3),"N/A")</f>
        <v>0</v>
      </c>
      <c r="AD8" s="550">
        <v>5</v>
      </c>
      <c r="AE8" s="550">
        <v>4</v>
      </c>
      <c r="AF8" s="550">
        <v>3</v>
      </c>
      <c r="AG8" s="550">
        <v>2</v>
      </c>
      <c r="AH8" s="550">
        <v>1</v>
      </c>
    </row>
    <row r="9" spans="1:34" x14ac:dyDescent="0.25">
      <c r="A9" s="639">
        <v>1.3</v>
      </c>
      <c r="B9" s="599" t="s">
        <v>1674</v>
      </c>
      <c r="C9" s="605"/>
      <c r="D9" s="612">
        <f>COUNTIFS(RawData!$E1:$E$272,"1.3",RawData!$F1:$F272,"N")</f>
        <v>20</v>
      </c>
      <c r="E9" s="7">
        <f ca="1">COUNTIFS(RawData!$E$1:$E$272,"1.3",RawData!$F$1:$F$272,"N",RawData!$P$1:$P$272,"N/A")</f>
        <v>0</v>
      </c>
      <c r="F9" s="7">
        <f ca="1">SUM(COUNTIFS(RawData!$E$1:$E$272,"1.3",RawData!$F$1:$F$272,"N",RawData!$P$1:$P$272,"No"),COUNTIFS(RawData!$E$1:$E$272,"1.3",RawData!$F$1:$F$272,"N",RawData!$P$1:$P$272,"M1"))</f>
        <v>0</v>
      </c>
      <c r="G9" s="7">
        <f ca="1">SUM(COUNTIFS(RawData!$E$1:$E$272,"1.3",RawData!$F$1:$F$272,"N",RawData!$P$1:$P$272,"Partial"),COUNTIFS(RawData!$E$1:$E$272,"1.3",RawData!$F$1:$F$272,"N",RawData!$P$1:$P$272,"M2"))</f>
        <v>0</v>
      </c>
      <c r="H9" s="7">
        <f ca="1">SUM(COUNTIFS(RawData!$E$1:$E$272,"1.3",RawData!$F$1:$F$272,"N",RawData!$P$1:$P$272,"Yes"),COUNTIFS(RawData!$E$1:$E$272,"1.3",RawData!$F$1:$F$272,"N",RawData!$P$1:$P$272,"M3"))</f>
        <v>0</v>
      </c>
      <c r="I9" s="7">
        <f ca="1">COUNTIFS(RawData!$E$1:$E$272,"1.3",RawData!$F$1:$F$272,"N",RawData!$P$1:$P$272,"M4")</f>
        <v>0</v>
      </c>
      <c r="J9" s="7">
        <f ca="1">COUNTIFS(RawData!$E$1:$E$272,"1.3",RawData!$F$1:$F$272,"N",RawData!$P$1:$P$272,"M5")</f>
        <v>0</v>
      </c>
      <c r="K9" s="595">
        <f t="shared" ca="1" si="1"/>
        <v>0</v>
      </c>
      <c r="L9" s="595">
        <f ca="1">IFERROR(((I9*1)+(J9*2))/(COUNTIFS(RawData!$D$1:$D$271,"D1",RawData!$F$1:$F$271,"N",RawData!$O$1:$O$271,"Maturity")-COUNTIFS(RawData!$D$1:$D$271,"D1",RawData!$F$1:$F$271,"N",RawData!$O$1:$O$271,"Maturity",RawData!$P$1:$P$271,"N/A")),0)</f>
        <v>0</v>
      </c>
      <c r="M9" s="611">
        <f t="shared" ca="1" si="2"/>
        <v>0</v>
      </c>
      <c r="N9" s="623">
        <f>COUNTIFS(RawData!$E$1:$E$272,"1.3",RawData!$F$1:$F$272,"Y")</f>
        <v>1</v>
      </c>
      <c r="O9" s="9">
        <f ca="1">COUNTIFS(RawData!$E$1:$E$272,"1.3",RawData!$F$1:$F$272,"Y",RawData!$P$1:$P$272,"N/A")</f>
        <v>0</v>
      </c>
      <c r="P9" s="9">
        <f ca="1">COUNTIFS(RawData!$E$1:$E$272,"1.3",RawData!$F$1:$F$272,"Y",RawData!$P$1:$P$272,"No")</f>
        <v>0</v>
      </c>
      <c r="Q9" s="9">
        <f ca="1">COUNTIFS(RawData!$E$1:$E$272,"1.3",RawData!$F$1:$F$272,"Y",RawData!$P$1:$P$272,"Partial")</f>
        <v>0</v>
      </c>
      <c r="R9" s="9">
        <f ca="1">COUNTIFS(RawData!$E$1:$E$272,"1.3",RawData!$F$1:$F$272,"Y",RawData!$P$1:$P$272,"Yes")</f>
        <v>0</v>
      </c>
      <c r="S9" s="622">
        <f t="shared" ca="1" si="3"/>
        <v>0</v>
      </c>
    </row>
    <row r="10" spans="1:34" x14ac:dyDescent="0.25">
      <c r="A10" s="600">
        <v>2</v>
      </c>
      <c r="B10" s="600" t="s">
        <v>1675</v>
      </c>
      <c r="C10" s="606" t="s">
        <v>1676</v>
      </c>
      <c r="D10" s="3">
        <f>COUNTIFS(RawData!$D1:$D$272,"D2",RawData!$F1:$F272,"N")</f>
        <v>206</v>
      </c>
      <c r="E10" s="5">
        <f t="shared" ref="E10:J10" ca="1" si="4">SUM(E11,E12,E15:E20,E32:E35)</f>
        <v>1</v>
      </c>
      <c r="F10" s="5">
        <f t="shared" ca="1" si="4"/>
        <v>0</v>
      </c>
      <c r="G10" s="5">
        <f t="shared" ca="1" si="4"/>
        <v>0</v>
      </c>
      <c r="H10" s="5">
        <f t="shared" ca="1" si="4"/>
        <v>0</v>
      </c>
      <c r="I10" s="5">
        <f t="shared" ca="1" si="4"/>
        <v>0</v>
      </c>
      <c r="J10" s="5">
        <f t="shared" ca="1" si="4"/>
        <v>0</v>
      </c>
      <c r="K10" s="594">
        <f t="shared" ca="1" si="1"/>
        <v>0</v>
      </c>
      <c r="L10" s="594">
        <f ca="1">IFERROR(((I10*1)+(J10*2))/(COUNTIFS(RawData!$D$1:$D$271,"D2",RawData!$F$1:$F$271,"N",RawData!$O$1:$O$271,"Maturity")-COUNTIFS(RawData!$D$1:$D$271,"D2",RawData!$F$1:$F$271,"N",RawData!$O$1:$O$271,"Maturity",RawData!$P$1:$P$271,"N/A")),0)</f>
        <v>0</v>
      </c>
      <c r="M10" s="610">
        <f ca="1">IFERROR(K10+L10,"N/A")</f>
        <v>0</v>
      </c>
      <c r="N10" s="3">
        <f>COUNTIFS(RawData!$D1:$D$272,"D2",RawData!$F1:$F272,"Y")</f>
        <v>24</v>
      </c>
      <c r="O10" s="5">
        <f ca="1">SUM(O11:O12,O15:O20,O32:O35)</f>
        <v>0</v>
      </c>
      <c r="P10" s="5">
        <f ca="1">SUM(P11:P12,P15:P20,P32:P35)</f>
        <v>0</v>
      </c>
      <c r="Q10" s="5">
        <f ca="1">SUM(Q11:Q12,Q15:Q20,Q32:Q35)</f>
        <v>0</v>
      </c>
      <c r="R10" s="5">
        <f ca="1">SUM(R11:R12,R15:R20,R32:R35)</f>
        <v>0</v>
      </c>
      <c r="S10" s="619">
        <f t="shared" ca="1" si="3"/>
        <v>0</v>
      </c>
      <c r="AD10" s="550">
        <v>5</v>
      </c>
      <c r="AE10" s="550">
        <v>4</v>
      </c>
      <c r="AF10" s="550">
        <v>3</v>
      </c>
      <c r="AG10" s="550">
        <v>2</v>
      </c>
      <c r="AH10" s="550">
        <v>1</v>
      </c>
    </row>
    <row r="11" spans="1:34" x14ac:dyDescent="0.25">
      <c r="A11" s="635">
        <v>2.1</v>
      </c>
      <c r="B11" s="601" t="s">
        <v>1677</v>
      </c>
      <c r="C11" s="607" t="s">
        <v>367</v>
      </c>
      <c r="D11" s="6">
        <f>COUNTIFS(RawData!$B1:$B$272,"D2.1",RawData!$F1:$F272,"N")</f>
        <v>2</v>
      </c>
      <c r="E11" s="7">
        <f ca="1">COUNTIFS(RawData!$B$1:$B$272,"D2.1",RawData!$F$1:$F$272,"N",RawData!$P$1:$P$272,"N/A")</f>
        <v>0</v>
      </c>
      <c r="F11" s="7">
        <f ca="1">SUM(COUNTIFS(RawData!$B$1:$B$272,"D2.1",RawData!$F$1:$F$272,"N",RawData!$P$1:$P$272,"No"),COUNTIFS(RawData!$B$1:$B$272,"D2.1",RawData!$F$1:$F$272,"N",RawData!$P$1:$P$272,"M1"))</f>
        <v>0</v>
      </c>
      <c r="G11" s="7">
        <f ca="1">SUM(COUNTIFS(RawData!$B$1:$B$272,"D2.1",RawData!$F$1:$F$272,"N",RawData!$P$1:$P$272,"Partial"),COUNTIFS(RawData!$B$1:$B$272,"D2.1",RawData!$F$1:$F$272,"N",RawData!$P$1:$P$272,"M2"))</f>
        <v>0</v>
      </c>
      <c r="H11" s="7">
        <f ca="1">SUM(COUNTIFS(RawData!$B$1:$B$272,"D2.1",RawData!$F$1:$F$272,"N",RawData!$P$1:$P$272,"Yes"),COUNTIFS(RawData!$B$1:$B$272,"D2.1",RawData!$F$1:$F$272,"N",RawData!$P$1:$P$272,"M3"))</f>
        <v>0</v>
      </c>
      <c r="I11" s="7">
        <f ca="1">COUNTIFS(RawData!$B$1:$B$272,"D2.1",RawData!$F$1:$F$272,"N",RawData!$P$1:$P$272,"M4")</f>
        <v>0</v>
      </c>
      <c r="J11" s="7">
        <f ca="1">COUNTIFS(RawData!$B$1:$B$272,"D2.1",RawData!$F$1:$F$272,"N",RawData!$P$1:$P$272,"M5")</f>
        <v>0</v>
      </c>
      <c r="K11" s="596">
        <f t="shared" ca="1" si="1"/>
        <v>0</v>
      </c>
      <c r="L11" s="596">
        <f ca="1">IFERROR(((I11*1)+(J11*2))/(COUNTIFS(RawData!$B$1:$B$271,"D2.1",RawData!$F$1:$F$271,"N",RawData!$O$1:$O$271,"Maturity")-COUNTIFS(RawData!$B$1:$B$271,"D2.1",RawData!$F$1:$F$271,"N",RawData!$O$1:$O$271,"Maturity",RawData!$P$1:$P$271,"N/A")),0)</f>
        <v>0</v>
      </c>
      <c r="M11" s="613">
        <f ca="1">IFERROR(K11+L11,"N/A")</f>
        <v>0</v>
      </c>
      <c r="N11" s="620"/>
      <c r="O11" s="8"/>
      <c r="P11" s="8"/>
      <c r="Q11" s="8"/>
      <c r="R11" s="8"/>
      <c r="S11" s="621"/>
      <c r="AC11" s="550">
        <v>1</v>
      </c>
      <c r="AD11" s="550">
        <v>5</v>
      </c>
      <c r="AE11" s="550">
        <v>4</v>
      </c>
      <c r="AF11" s="550">
        <v>3</v>
      </c>
      <c r="AG11" s="550">
        <v>2</v>
      </c>
      <c r="AH11" s="550">
        <v>1</v>
      </c>
    </row>
    <row r="12" spans="1:34" x14ac:dyDescent="0.25">
      <c r="A12" s="635">
        <v>2.2000000000000002</v>
      </c>
      <c r="B12" s="601" t="s">
        <v>1678</v>
      </c>
      <c r="C12" s="607" t="s">
        <v>1679</v>
      </c>
      <c r="D12" s="6">
        <f>D13+D14</f>
        <v>23</v>
      </c>
      <c r="E12" s="10">
        <f t="shared" ref="E12:J12" ca="1" si="5">SUM(E13:E14)</f>
        <v>0</v>
      </c>
      <c r="F12" s="10">
        <f t="shared" ca="1" si="5"/>
        <v>0</v>
      </c>
      <c r="G12" s="10">
        <f t="shared" ca="1" si="5"/>
        <v>0</v>
      </c>
      <c r="H12" s="10">
        <f t="shared" ca="1" si="5"/>
        <v>0</v>
      </c>
      <c r="I12" s="10">
        <f t="shared" ca="1" si="5"/>
        <v>0</v>
      </c>
      <c r="J12" s="10">
        <f t="shared" ca="1" si="5"/>
        <v>0</v>
      </c>
      <c r="K12" s="596">
        <f t="shared" ca="1" si="1"/>
        <v>0</v>
      </c>
      <c r="L12" s="596">
        <f ca="1">IFERROR(((I12*1)+(J12*2))/(COUNTIFS(RawData!$B$1:$B$271,"D2.2",RawData!$F$1:$F$271,"N",RawData!$O$1:$O$271,"Maturity")-COUNTIFS(RawData!$B$1:$B$271,"D2.2",RawData!$F$1:$F$271,"N",RawData!$O$1:$O$271,"Maturity",RawData!$P$1:$P$271,"N/A")),0)</f>
        <v>0</v>
      </c>
      <c r="M12" s="613">
        <f ca="1">IFERROR(K12+L12,"N/A")</f>
        <v>0</v>
      </c>
      <c r="N12" s="620">
        <f>N14</f>
        <v>1</v>
      </c>
      <c r="O12" s="8">
        <f ca="1">O14</f>
        <v>0</v>
      </c>
      <c r="P12" s="8">
        <f ca="1">P14</f>
        <v>0</v>
      </c>
      <c r="Q12" s="8">
        <f ca="1">Q14</f>
        <v>0</v>
      </c>
      <c r="R12" s="8">
        <f ca="1">R14</f>
        <v>0</v>
      </c>
      <c r="S12" s="621">
        <f t="shared" ca="1" si="3"/>
        <v>0</v>
      </c>
      <c r="AD12" s="550">
        <v>5</v>
      </c>
      <c r="AE12" s="550">
        <v>4</v>
      </c>
      <c r="AF12" s="550">
        <v>3</v>
      </c>
      <c r="AG12" s="550">
        <v>2</v>
      </c>
      <c r="AH12" s="550">
        <v>1</v>
      </c>
    </row>
    <row r="13" spans="1:34" s="552" customFormat="1" ht="12.7" customHeight="1" x14ac:dyDescent="0.25">
      <c r="A13" s="636" t="s">
        <v>282</v>
      </c>
      <c r="B13" s="602" t="s">
        <v>1680</v>
      </c>
      <c r="C13" s="608" t="s">
        <v>385</v>
      </c>
      <c r="D13" s="1">
        <f>COUNTIFS(RawData!$E$1:$E$272,"2.2.1",RawData!$F$1:$F$272,"N")</f>
        <v>9</v>
      </c>
      <c r="E13" s="64">
        <f ca="1">COUNTIFS(RawData!$E$1:$E$272,"2.2.1",RawData!$F$1:$F$272,"N",RawData!$P$1:$P$272,"N/A")</f>
        <v>0</v>
      </c>
      <c r="F13" s="64">
        <f ca="1">SUM(COUNTIFS(RawData!$E$1:$E$272,"2.2.1",RawData!$F$1:$F$272,"N",RawData!$P$1:$P$272,"No"),COUNTIFS(RawData!$E$1:$E$272,"2.2.1",RawData!$F$1:$F$272,"N",RawData!$P$1:$P$272,"M1"))</f>
        <v>0</v>
      </c>
      <c r="G13" s="64">
        <f ca="1">SUM(COUNTIFS(RawData!$E$1:$E$272,"2.2.1",RawData!$F$1:$F$272,"N",RawData!$P$1:$P$272,"Partial"),COUNTIFS(RawData!$E$1:$E$272,"2.2.1",RawData!$F$1:$F$272,"N",RawData!$P$1:$P$272,"M2"))</f>
        <v>0</v>
      </c>
      <c r="H13" s="64">
        <f ca="1">SUM(COUNTIFS(RawData!$E$1:$E$272,"2.2.1",RawData!$F$1:$F$272,"N",RawData!$P$1:$P$272,"Yes"),COUNTIFS(RawData!$E$1:$E$272,"2.2.1",RawData!$F$1:$F$272,"N",RawData!$P$1:$P$272,"M3"))</f>
        <v>0</v>
      </c>
      <c r="I13" s="64">
        <f ca="1">COUNTIFS(RawData!$E$1:$E$272,"2.2.1",RawData!$F$1:$F$272,"N",RawData!$P$1:$P$272,"M4")</f>
        <v>0</v>
      </c>
      <c r="J13" s="64">
        <f ca="1">COUNTIFS(RawData!$E$1:$E$272,"2.2.1",RawData!$F$1:$F$272,"N",RawData!$P$1:$P$272,"M5")</f>
        <v>0</v>
      </c>
      <c r="K13" s="597">
        <f t="shared" ca="1" si="1"/>
        <v>0</v>
      </c>
      <c r="L13" s="597">
        <f ca="1">IFERROR(((I13*1)+(J13*2))/(COUNTIFS(RawData!$E$1:$E$271,"2.2.1",RawData!$F$1:$F$271,"N",RawData!$O$1:$O$271,"Maturity")-COUNTIFS(RawData!$E$1:$E$271,"2.2.1",RawData!$F$1:$F$271,"N",RawData!$O$1:$O$271,"Maturity",RawData!$P$1:$P$271,"N/A")),0)</f>
        <v>0</v>
      </c>
      <c r="M13" s="614">
        <f t="shared" ref="M13:M14" ca="1" si="6">IFERROR(K13+L13,"N/A")</f>
        <v>0</v>
      </c>
      <c r="N13" s="624"/>
      <c r="O13" s="12"/>
      <c r="P13" s="14"/>
      <c r="Q13" s="14"/>
      <c r="R13" s="14"/>
      <c r="S13" s="625"/>
      <c r="T13" s="551"/>
      <c r="AC13" s="552">
        <v>1</v>
      </c>
      <c r="AD13" s="552">
        <v>5</v>
      </c>
      <c r="AE13" s="552">
        <v>4</v>
      </c>
      <c r="AF13" s="552">
        <v>3</v>
      </c>
      <c r="AG13" s="552">
        <v>2</v>
      </c>
      <c r="AH13" s="552">
        <v>1</v>
      </c>
    </row>
    <row r="14" spans="1:34" s="552" customFormat="1" x14ac:dyDescent="0.25">
      <c r="A14" s="636" t="s">
        <v>332</v>
      </c>
      <c r="B14" s="602" t="s">
        <v>1681</v>
      </c>
      <c r="C14" s="608" t="s">
        <v>1682</v>
      </c>
      <c r="D14" s="1">
        <f>COUNTIFS(RawData!$E1:$E$272,"2.2.2",RawData!$F1:$F272,"N")</f>
        <v>14</v>
      </c>
      <c r="E14" s="64">
        <f ca="1">COUNTIFS(RawData!$E$1:$E$272,"2.2.2",RawData!$F$1:$F$272,"N",RawData!$P$1:$P$272,"N/A")</f>
        <v>0</v>
      </c>
      <c r="F14" s="64">
        <f ca="1">SUM(COUNTIFS(RawData!$E$1:$E$272,"2.2.2",RawData!$F$1:$F$272,"N",RawData!$P$1:$P$272,"No"),COUNTIFS(RawData!$E$1:$E$272,"2.2.2",RawData!$F$1:$F$272,"N",RawData!$P$1:$P$272,"M1"))</f>
        <v>0</v>
      </c>
      <c r="G14" s="64">
        <f ca="1">SUM(COUNTIFS(RawData!$E$1:$E$272,"2.2.2",RawData!$F$1:$F$272,"N",RawData!$P$1:$P$272,"Partial"),COUNTIFS(RawData!$E$1:$E$272,"2.2.2",RawData!$F$1:$F$272,"N",RawData!$P$1:$P$272,"M2"))</f>
        <v>0</v>
      </c>
      <c r="H14" s="64">
        <f ca="1">SUM(COUNTIFS(RawData!$E$1:$E$272,"2.2.2",RawData!$F$1:$F$272,"N",RawData!$P$1:$P$272,"Yes"),COUNTIFS(RawData!$E$1:$E$272,"2.2.2",RawData!$F$1:$F$272,"N",RawData!$P$1:$P$272,"M3"))</f>
        <v>0</v>
      </c>
      <c r="I14" s="64">
        <f ca="1">COUNTIFS(RawData!$E$1:$E$272,"2.2.2",RawData!$F$1:$F$272,"N",RawData!$P$1:$P$272,"M4")</f>
        <v>0</v>
      </c>
      <c r="J14" s="64">
        <f ca="1">COUNTIFS(RawData!$E$1:$E$272,"2.2.2",RawData!$F$1:$F$272,"N",RawData!$P$1:$P$272,"M5")</f>
        <v>0</v>
      </c>
      <c r="K14" s="597">
        <f t="shared" ca="1" si="1"/>
        <v>0</v>
      </c>
      <c r="L14" s="597">
        <f ca="1">IFERROR(((I14*1)+(J14*2))/(COUNTIFS(RawData!$E$1:$E$271,"2.2.2",RawData!$F$1:$F$271,"N",RawData!$O$1:$O$271,"Maturity")-COUNTIFS(RawData!$E$1:$E$271,"2.2.2",RawData!$F$1:$F$271,"N",RawData!$O$1:$O$271,"Maturity",RawData!$P$1:$P$271,"N/A")),0)</f>
        <v>0</v>
      </c>
      <c r="M14" s="614">
        <f t="shared" ca="1" si="6"/>
        <v>0</v>
      </c>
      <c r="N14" s="626">
        <f>COUNTIFS(RawData!$E$1:$E$272,"2.2.2",RawData!$F$1:$F$272,"Y")</f>
        <v>1</v>
      </c>
      <c r="O14" s="13">
        <f ca="1">COUNTIFS(RawData!$E$1:$E$272,"2.2.2",RawData!$F$1:$F$272,"Y",RawData!$P$1:$P$272,"N/A")</f>
        <v>0</v>
      </c>
      <c r="P14" s="13">
        <f ca="1">COUNTIFS(RawData!$E$1:$E$272,"2.2.2",RawData!$F$1:$F$272,"Y",RawData!$P$1:$P$272,"No")</f>
        <v>0</v>
      </c>
      <c r="Q14" s="13">
        <f ca="1">COUNTIFS(RawData!$E$1:$E$272,"2.2.2",RawData!$F$1:$F$272,"Y",RawData!$P$1:$P$272,"Partial")</f>
        <v>0</v>
      </c>
      <c r="R14" s="13">
        <f ca="1">COUNTIFS(RawData!$E$1:$E$272,"2.2.2",RawData!$F$1:$F$272,"Y",RawData!$P$1:$P$272,"Yes")</f>
        <v>0</v>
      </c>
      <c r="S14" s="627">
        <f t="shared" ca="1" si="3"/>
        <v>0</v>
      </c>
      <c r="T14" s="551"/>
      <c r="AC14" s="552">
        <v>1</v>
      </c>
      <c r="AD14" s="552">
        <v>5</v>
      </c>
      <c r="AE14" s="552">
        <v>4</v>
      </c>
      <c r="AF14" s="552">
        <v>3</v>
      </c>
      <c r="AG14" s="552">
        <v>2</v>
      </c>
      <c r="AH14" s="552">
        <v>1</v>
      </c>
    </row>
    <row r="15" spans="1:34" x14ac:dyDescent="0.25">
      <c r="A15" s="635">
        <v>2.2999999999999998</v>
      </c>
      <c r="B15" s="601" t="s">
        <v>1683</v>
      </c>
      <c r="C15" s="607" t="s">
        <v>1684</v>
      </c>
      <c r="D15" s="6">
        <f>COUNTIFS(RawData!$E1:$E$272,"2.3",RawData!$F1:$F272,"N")</f>
        <v>6</v>
      </c>
      <c r="E15" s="7">
        <f ca="1">COUNTIFS(RawData!$E$1:$E$272,"2.3",RawData!$F$1:$F$272,"N",RawData!$P$1:$P$272,"N/A")</f>
        <v>0</v>
      </c>
      <c r="F15" s="7">
        <f ca="1">SUM(COUNTIFS(RawData!$E$1:$E$272,"2.3",RawData!$F$1:$F$272,"N",RawData!$P$1:$P$272,"No"),COUNTIFS(RawData!$E$1:$E$272,"2.3",RawData!$F$1:$F$272,"N",RawData!$P$1:$P$272,"M1"))</f>
        <v>0</v>
      </c>
      <c r="G15" s="7">
        <f ca="1">SUM(COUNTIFS(RawData!$E$1:$E$272,"2.3",RawData!$F$1:$F$272,"N",RawData!$P$1:$P$272,"Partial"),COUNTIFS(RawData!$E$1:$E$272,"2.3",RawData!$F$1:$F$272,"N",RawData!$P$1:$P$272,"M2"))</f>
        <v>0</v>
      </c>
      <c r="H15" s="7">
        <f ca="1">SUM(COUNTIFS(RawData!$E$1:$E$272,"2.3",RawData!$F$1:$F$272,"N",RawData!$P$1:$P$272,"Yes"),COUNTIFS(RawData!$E$1:$E$272,"2.3",RawData!$F$1:$F$272,"N",RawData!$P$1:$P$272,"M3"))</f>
        <v>0</v>
      </c>
      <c r="I15" s="7">
        <f ca="1">COUNTIFS(RawData!$E$1:$E$272,"2.3",RawData!$F$1:$F$272,"N",RawData!$P$1:$P$272,"M4")</f>
        <v>0</v>
      </c>
      <c r="J15" s="7">
        <f ca="1">COUNTIFS(RawData!$E$1:$E$272,"2.3",RawData!$F$1:$F$272,"N",RawData!$P$1:$P$272,"M5")</f>
        <v>0</v>
      </c>
      <c r="K15" s="596">
        <f t="shared" ca="1" si="1"/>
        <v>0</v>
      </c>
      <c r="L15" s="596">
        <f ca="1">IFERROR(((I15*1)+(J15*2))/(COUNTIFS(RawData!$B$1:$B$271,"D2.3",RawData!$F$1:$F$271,"N",RawData!$O$1:$O$271,"Maturity")-COUNTIFS(RawData!$B$1:$B$271,"D2.3",RawData!$F$1:$F$271,"N",RawData!$O$1:$O$271,"Maturity",RawData!$P$1:$P$271,"N/A")),0)</f>
        <v>0</v>
      </c>
      <c r="M15" s="613">
        <f t="shared" ref="M15:M31" ca="1" si="7">IFERROR(K15+L15,"N/A")</f>
        <v>0</v>
      </c>
      <c r="N15" s="620"/>
      <c r="O15" s="8"/>
      <c r="P15" s="8"/>
      <c r="Q15" s="8"/>
      <c r="R15" s="8"/>
      <c r="S15" s="621"/>
      <c r="AC15" s="550">
        <v>1</v>
      </c>
      <c r="AD15" s="550">
        <v>5</v>
      </c>
      <c r="AE15" s="550">
        <v>4</v>
      </c>
      <c r="AF15" s="550">
        <v>3</v>
      </c>
      <c r="AG15" s="550">
        <v>2</v>
      </c>
      <c r="AH15" s="550">
        <v>1</v>
      </c>
    </row>
    <row r="16" spans="1:34" x14ac:dyDescent="0.25">
      <c r="A16" s="635">
        <v>2.4</v>
      </c>
      <c r="B16" s="601" t="s">
        <v>1685</v>
      </c>
      <c r="C16" s="607" t="s">
        <v>1686</v>
      </c>
      <c r="D16" s="6">
        <f>COUNTIFS(RawData!$E$1:$E$272,"2.4",RawData!$F$1:$F$272,"N")</f>
        <v>8</v>
      </c>
      <c r="E16" s="7">
        <f ca="1">COUNTIFS(RawData!$E$1:$E$272,"2.4",RawData!$F$1:$F$272,"N",RawData!$P$1:$P$272,"N/A")</f>
        <v>0</v>
      </c>
      <c r="F16" s="7">
        <f ca="1">SUM(COUNTIFS(RawData!$E$1:$E$272,"2.4",RawData!$F$1:$F$272,"N",RawData!$P$1:$P$272,"No"),COUNTIFS(RawData!$E$1:$E$272,"2.4",RawData!$F$1:$F$272,"N",RawData!$P$1:$P$272,"M1"))</f>
        <v>0</v>
      </c>
      <c r="G16" s="7">
        <f ca="1">SUM(COUNTIFS(RawData!$E$1:$E$272,"2.4",RawData!$F$1:$F$272,"N",RawData!$P$1:$P$272,"Partial"),COUNTIFS(RawData!$E$1:$E$272,"2.4",RawData!$F$1:$F$272,"N",RawData!$P$1:$P$272,"M2"))</f>
        <v>0</v>
      </c>
      <c r="H16" s="7">
        <f ca="1">SUM(COUNTIFS(RawData!$E$1:$E$272,"2.4",RawData!$F$1:$F$272,"N",RawData!$P$1:$P$272,"Yes"),COUNTIFS(RawData!$E$1:$E$272,"2.4",RawData!$F$1:$F$272,"N",RawData!$P$1:$P$272,"M3"))</f>
        <v>0</v>
      </c>
      <c r="I16" s="7">
        <f ca="1">COUNTIFS(RawData!$E$1:$E$272,"2.4",RawData!$F$1:$F$272,"N",RawData!$P$1:$P$272,"M4")</f>
        <v>0</v>
      </c>
      <c r="J16" s="7">
        <f ca="1">COUNTIFS(RawData!$E$1:$E$272,"2.4",RawData!$F$1:$F$272,"N",RawData!$P$1:$P$272,"M5")</f>
        <v>0</v>
      </c>
      <c r="K16" s="596">
        <f t="shared" ca="1" si="1"/>
        <v>0</v>
      </c>
      <c r="L16" s="596">
        <f ca="1">IFERROR(((I16*1)+(J16*2))/(COUNTIFS(RawData!$B$1:$B$271,"D2.4",RawData!$F$1:$F$271,"N",RawData!$O$1:$O$271,"Maturity")-COUNTIFS(RawData!$B$1:$B$271,"D2.4",RawData!$F$1:$F$271,"N",RawData!$O$1:$O$271,"Maturity",RawData!$P$1:$P$271,"N/A")),0)</f>
        <v>0</v>
      </c>
      <c r="M16" s="613">
        <f t="shared" ca="1" si="7"/>
        <v>0</v>
      </c>
      <c r="N16" s="620"/>
      <c r="O16" s="8"/>
      <c r="P16" s="11"/>
      <c r="Q16" s="11"/>
      <c r="R16" s="11"/>
      <c r="S16" s="628"/>
      <c r="AC16" s="550">
        <v>1</v>
      </c>
      <c r="AD16" s="550">
        <v>5</v>
      </c>
      <c r="AE16" s="550">
        <v>4</v>
      </c>
      <c r="AF16" s="550">
        <v>3</v>
      </c>
      <c r="AG16" s="550">
        <v>2</v>
      </c>
      <c r="AH16" s="550">
        <v>1</v>
      </c>
    </row>
    <row r="17" spans="1:34" x14ac:dyDescent="0.25">
      <c r="A17" s="635">
        <v>2.5</v>
      </c>
      <c r="B17" s="601" t="s">
        <v>1687</v>
      </c>
      <c r="C17" s="607" t="s">
        <v>1688</v>
      </c>
      <c r="D17" s="6">
        <f>COUNTIFS(RawData!$E$1:$E$272,"2.5",RawData!$F$1:$F$272,"N")</f>
        <v>5</v>
      </c>
      <c r="E17" s="7">
        <f ca="1">COUNTIFS(RawData!$E$1:$E$272,"2.5",RawData!$F$1:$F$272,"N",RawData!$P$1:$P$272,"N/A")</f>
        <v>0</v>
      </c>
      <c r="F17" s="7">
        <f ca="1">SUM(COUNTIFS(RawData!$E$1:$E$272,"2.5",RawData!$F$1:$F$272,"N",RawData!$P$1:$P$272,"No"),COUNTIFS(RawData!$E$1:$E$272,"2.5",RawData!$F$1:$F$272,"N",RawData!$P$1:$P$272,"M1"))</f>
        <v>0</v>
      </c>
      <c r="G17" s="7">
        <f ca="1">SUM(COUNTIFS(RawData!$E$1:$E$272,"2.5",RawData!$F$1:$F$272,"N",RawData!$P$1:$P$272,"Partial"),COUNTIFS(RawData!$E$1:$E$272,"2.5",RawData!$F$1:$F$272,"N",RawData!$P$1:$P$272,"M2"))</f>
        <v>0</v>
      </c>
      <c r="H17" s="7">
        <f ca="1">SUM(COUNTIFS(RawData!$E$1:$E$272,"2.5",RawData!$F$1:$F$272,"N",RawData!$P$1:$P$272,"Yes"),COUNTIFS(RawData!$E$1:$E$272,"2.5",RawData!$F$1:$F$272,"N",RawData!$P$1:$P$272,"M3"))</f>
        <v>0</v>
      </c>
      <c r="I17" s="7">
        <f ca="1">COUNTIFS(RawData!$E$1:$E$272,"2.5",RawData!$F$1:$F$272,"N",RawData!$P$1:$P$272,"M4")</f>
        <v>0</v>
      </c>
      <c r="J17" s="7">
        <f ca="1">COUNTIFS(RawData!$E$1:$E$272,"2.5",RawData!$F$1:$F$272,"N",RawData!$P$1:$P$272,"M5")</f>
        <v>0</v>
      </c>
      <c r="K17" s="596">
        <f t="shared" ca="1" si="1"/>
        <v>0</v>
      </c>
      <c r="L17" s="596">
        <f ca="1">IFERROR(((I17*1)+(J17*2))/(COUNTIFS(RawData!$B$1:$B$271,"D2.5",RawData!$F$1:$F$271,"N",RawData!$O$1:$O$271,"Maturity")-COUNTIFS(RawData!$B$1:$B$271,"D2.5",RawData!$F$1:$F$271,"N",RawData!$O$1:$O$271,"Maturity",RawData!$P$1:$P$271,"N/A")),0)</f>
        <v>0</v>
      </c>
      <c r="M17" s="613">
        <f t="shared" ca="1" si="7"/>
        <v>0</v>
      </c>
      <c r="N17" s="623">
        <f>COUNTIFS(RawData!$E$1:$E$272,"2.5",RawData!$F$1:$F$272,"Y")</f>
        <v>1</v>
      </c>
      <c r="O17" s="9">
        <f ca="1">COUNTIFS(RawData!$E$1:$E$272,"2.5",RawData!$F$1:$F$272,"Y",RawData!$P$1:$P$272,"N/A")</f>
        <v>0</v>
      </c>
      <c r="P17" s="9">
        <f ca="1">COUNTIFS(RawData!$E$1:$E$272,"2.5",RawData!$F$1:$F$272,"Y",RawData!$P$1:$P$272,"No")</f>
        <v>0</v>
      </c>
      <c r="Q17" s="9">
        <f ca="1">COUNTIFS(RawData!$E$1:$E$272,"2.5",RawData!$F$1:$F$272,"Y",RawData!$P$1:$P$272,"Partial")</f>
        <v>0</v>
      </c>
      <c r="R17" s="9">
        <f ca="1">COUNTIFS(RawData!$E$1:$E$272,"2.5",RawData!$F$1:$F$272,"Y",RawData!$P$1:$P$272,"Yes")</f>
        <v>0</v>
      </c>
      <c r="S17" s="622">
        <f t="shared" ca="1" si="3"/>
        <v>0</v>
      </c>
      <c r="AC17" s="550">
        <v>1</v>
      </c>
      <c r="AD17" s="550">
        <v>5</v>
      </c>
      <c r="AE17" s="550">
        <v>4</v>
      </c>
      <c r="AF17" s="550">
        <v>3</v>
      </c>
      <c r="AG17" s="550">
        <v>2</v>
      </c>
      <c r="AH17" s="550">
        <v>1</v>
      </c>
    </row>
    <row r="18" spans="1:34" x14ac:dyDescent="0.25">
      <c r="A18" s="635">
        <v>2.6</v>
      </c>
      <c r="B18" s="601" t="s">
        <v>1689</v>
      </c>
      <c r="C18" s="607" t="s">
        <v>1690</v>
      </c>
      <c r="D18" s="6">
        <f>COUNTIFS(RawData!$E$1:$E$272,"2.6",RawData!$F$1:$F$272,"N")</f>
        <v>8</v>
      </c>
      <c r="E18" s="7">
        <f ca="1">COUNTIFS(RawData!$E$1:$E$272,"2.6",RawData!$F$1:$F$272,"N",RawData!$P$1:$P$272,"N/A")</f>
        <v>0</v>
      </c>
      <c r="F18" s="7">
        <f ca="1">SUM(COUNTIFS(RawData!$E$1:$E$272,"2.6",RawData!$F$1:$F$272,"N",RawData!$P$1:$P$272,"No"),COUNTIFS(RawData!$E$1:$E$272,"2.6",RawData!$F$1:$F$272,"N",RawData!$P$1:$P$272,"M1"))</f>
        <v>0</v>
      </c>
      <c r="G18" s="7">
        <f ca="1">SUM(COUNTIFS(RawData!$E$1:$E$272,"2.6",RawData!$F$1:$F$272,"N",RawData!$P$1:$P$272,"Partial"),COUNTIFS(RawData!$E$1:$E$272,"2.6",RawData!$F$1:$F$272,"N",RawData!$P$1:$P$272,"M2"))</f>
        <v>0</v>
      </c>
      <c r="H18" s="7">
        <f ca="1">SUM(COUNTIFS(RawData!$E$1:$E$272,"2.6",RawData!$F$1:$F$272,"N",RawData!$P$1:$P$272,"Yes"),COUNTIFS(RawData!$E$1:$E$272,"2.6",RawData!$F$1:$F$272,"N",RawData!$P$1:$P$272,"M3"))</f>
        <v>0</v>
      </c>
      <c r="I18" s="7">
        <f ca="1">COUNTIFS(RawData!$E$1:$E$272,"2.6",RawData!$F$1:$F$272,"N",RawData!$P$1:$P$272,"M4")</f>
        <v>0</v>
      </c>
      <c r="J18" s="7">
        <f ca="1">COUNTIFS(RawData!$E$1:$E$272,"2.6",RawData!$F$1:$F$272,"N",RawData!$P$1:$P$272,"M5")</f>
        <v>0</v>
      </c>
      <c r="K18" s="596">
        <f t="shared" ca="1" si="1"/>
        <v>0</v>
      </c>
      <c r="L18" s="596">
        <f ca="1">IFERROR(((I18*1)+(J18*2))/(COUNTIFS(RawData!$B$1:$B$271,"D2.6",RawData!$F$1:$F$271,"N",RawData!$O$1:$O$271,"Maturity")-COUNTIFS(RawData!$B$1:$B$271,"D2.6",RawData!$F$1:$F$271,"N",RawData!$O$1:$O$271,"Maturity",RawData!$P$1:$P$271,"N/A")),0)</f>
        <v>0</v>
      </c>
      <c r="M18" s="613">
        <f t="shared" ca="1" si="7"/>
        <v>0</v>
      </c>
      <c r="N18" s="620"/>
      <c r="O18" s="8"/>
      <c r="P18" s="11"/>
      <c r="Q18" s="11"/>
      <c r="R18" s="11"/>
      <c r="S18" s="628"/>
      <c r="AC18" s="550">
        <v>1</v>
      </c>
      <c r="AD18" s="550">
        <v>5</v>
      </c>
      <c r="AE18" s="550">
        <v>4</v>
      </c>
      <c r="AF18" s="550">
        <v>3</v>
      </c>
      <c r="AG18" s="550">
        <v>2</v>
      </c>
      <c r="AH18" s="550">
        <v>1</v>
      </c>
    </row>
    <row r="19" spans="1:34" x14ac:dyDescent="0.25">
      <c r="A19" s="635">
        <v>2.7</v>
      </c>
      <c r="B19" s="601" t="s">
        <v>1691</v>
      </c>
      <c r="C19" s="607" t="s">
        <v>1692</v>
      </c>
      <c r="D19" s="6">
        <f>COUNTIFS(RawData!$E$1:$E$272,"2.7",RawData!$F$1:$F$272,"N")</f>
        <v>12</v>
      </c>
      <c r="E19" s="7">
        <f ca="1">COUNTIFS(RawData!$E$1:$E$272,"2.7",RawData!$F$1:$F$272,"N",RawData!$P$1:$P$272,"N/A")</f>
        <v>0</v>
      </c>
      <c r="F19" s="7">
        <f ca="1">SUM(COUNTIFS(RawData!$E$1:$E$272,"2.7",RawData!$F$1:$F$272,"N",RawData!$P$1:$P$272,"No"),COUNTIFS(RawData!$E$1:$E$272,"2.7",RawData!$F$1:$F$272,"N",RawData!$P$1:$P$272,"M1"))</f>
        <v>0</v>
      </c>
      <c r="G19" s="7">
        <f ca="1">SUM(COUNTIFS(RawData!$E$1:$E$272,"2.7",RawData!$F$1:$F$272,"N",RawData!$P$1:$P$272,"Partial"),COUNTIFS(RawData!$E$1:$E$272,"2.7",RawData!$F$1:$F$272,"N",RawData!$P$1:$P$272,"M2"))</f>
        <v>0</v>
      </c>
      <c r="H19" s="7">
        <f ca="1">SUM(COUNTIFS(RawData!$E$1:$E$272,"2.7",RawData!$F$1:$F$272,"N",RawData!$P$1:$P$272,"Yes"),COUNTIFS(RawData!$E$1:$E$272,"2.7",RawData!$F$1:$F$272,"N",RawData!$P$1:$P$272,"M3"))</f>
        <v>0</v>
      </c>
      <c r="I19" s="7">
        <f ca="1">COUNTIFS(RawData!$E$1:$E$272,"2.7",RawData!$F$1:$F$272,"N",RawData!$P$1:$P$272,"M4")</f>
        <v>0</v>
      </c>
      <c r="J19" s="7">
        <f ca="1">COUNTIFS(RawData!$E$1:$E$272,"2.7",RawData!$F$1:$F$272,"N",RawData!$P$1:$P$272,"M5")</f>
        <v>0</v>
      </c>
      <c r="K19" s="596">
        <f t="shared" ca="1" si="1"/>
        <v>0</v>
      </c>
      <c r="L19" s="596">
        <f ca="1">IFERROR(((I19*1)+(J19*2))/(COUNTIFS(RawData!$B$1:$B$271,"D2.7",RawData!$F$1:$F$271,"N",RawData!$O$1:$O$271,"Maturity")-COUNTIFS(RawData!$B$1:$B$271,"D2.7",RawData!$F$1:$F$271,"N",RawData!$O$1:$O$271,"Maturity",RawData!$P$1:$P$271,"N/A")),0)</f>
        <v>0</v>
      </c>
      <c r="M19" s="613">
        <f t="shared" ca="1" si="7"/>
        <v>0</v>
      </c>
      <c r="N19" s="620"/>
      <c r="O19" s="8"/>
      <c r="P19" s="11"/>
      <c r="Q19" s="11"/>
      <c r="R19" s="11"/>
      <c r="S19" s="628"/>
      <c r="AC19" s="550">
        <v>1</v>
      </c>
      <c r="AD19" s="550">
        <v>5</v>
      </c>
      <c r="AE19" s="550">
        <v>4</v>
      </c>
      <c r="AF19" s="550">
        <v>3</v>
      </c>
      <c r="AG19" s="550">
        <v>2</v>
      </c>
      <c r="AH19" s="550">
        <v>1</v>
      </c>
    </row>
    <row r="20" spans="1:34" x14ac:dyDescent="0.25">
      <c r="A20" s="635">
        <v>2.8</v>
      </c>
      <c r="B20" s="601" t="s">
        <v>1693</v>
      </c>
      <c r="C20" s="607" t="s">
        <v>1694</v>
      </c>
      <c r="D20" s="6">
        <f t="shared" ref="D20:J20" si="8">SUM(D21:D31)</f>
        <v>70</v>
      </c>
      <c r="E20" s="10">
        <f t="shared" ca="1" si="8"/>
        <v>1</v>
      </c>
      <c r="F20" s="10">
        <f t="shared" ca="1" si="8"/>
        <v>0</v>
      </c>
      <c r="G20" s="10">
        <f t="shared" ca="1" si="8"/>
        <v>0</v>
      </c>
      <c r="H20" s="10">
        <f t="shared" ca="1" si="8"/>
        <v>0</v>
      </c>
      <c r="I20" s="10">
        <f t="shared" ca="1" si="8"/>
        <v>0</v>
      </c>
      <c r="J20" s="10">
        <f t="shared" ca="1" si="8"/>
        <v>0</v>
      </c>
      <c r="K20" s="596">
        <f t="shared" ca="1" si="1"/>
        <v>0</v>
      </c>
      <c r="L20" s="596">
        <f ca="1">IFERROR(((I20*1)+(J20*2))/(COUNTIFS(RawData!$B$1:$B$271,"D2.8",RawData!$F$1:$F$271,"N",RawData!$O$1:$O$271,"Maturity")-COUNTIFS(RawData!$B$1:$B$271,"D2.8",RawData!$F$1:$F$271,"N",RawData!$O$1:$O$271,"Maturity",RawData!$P$1:$P$271,"N/A")),0)</f>
        <v>0</v>
      </c>
      <c r="M20" s="613">
        <f t="shared" ca="1" si="7"/>
        <v>0</v>
      </c>
      <c r="N20" s="620">
        <f>SUM(N21:N31)</f>
        <v>12</v>
      </c>
      <c r="O20" s="8">
        <f ca="1">SUM(O21:O31)</f>
        <v>0</v>
      </c>
      <c r="P20" s="8">
        <f ca="1">SUM(P21:P31)</f>
        <v>0</v>
      </c>
      <c r="Q20" s="8">
        <f ca="1">SUM(Q21:Q31)</f>
        <v>0</v>
      </c>
      <c r="R20" s="8">
        <f ca="1">SUM(R21:R31)</f>
        <v>0</v>
      </c>
      <c r="S20" s="621">
        <f t="shared" ca="1" si="3"/>
        <v>0</v>
      </c>
      <c r="AC20" s="550">
        <v>1</v>
      </c>
      <c r="AD20" s="550">
        <v>5</v>
      </c>
      <c r="AE20" s="550">
        <v>4</v>
      </c>
      <c r="AF20" s="550">
        <v>3</v>
      </c>
      <c r="AG20" s="550">
        <v>2</v>
      </c>
      <c r="AH20" s="550">
        <v>1</v>
      </c>
    </row>
    <row r="21" spans="1:34" s="552" customFormat="1" x14ac:dyDescent="0.25">
      <c r="A21" s="636" t="s">
        <v>1596</v>
      </c>
      <c r="B21" s="602" t="s">
        <v>1695</v>
      </c>
      <c r="C21" s="608" t="s">
        <v>1696</v>
      </c>
      <c r="D21" s="1">
        <f>COUNTIFS(RawData!$E$1:$E$272,"2.8.1",RawData!$F$1:$F$272,"N")</f>
        <v>4</v>
      </c>
      <c r="E21" s="64">
        <f ca="1">COUNTIFS(RawData!$E$1:$E$272,"2.8.1",RawData!$F$1:$F$272,"N",RawData!$P$1:$P$272,"N/A")</f>
        <v>0</v>
      </c>
      <c r="F21" s="64">
        <f ca="1">SUM(COUNTIFS(RawData!$E$1:$E$272,"2.8.1",RawData!$F$1:$F$272,"N",RawData!$P$1:$P$272,"No"),COUNTIFS(RawData!$E$1:$E$272,"2.8.1",RawData!$F$1:$F$272,"N",RawData!$P$1:$P$272,"M1"))</f>
        <v>0</v>
      </c>
      <c r="G21" s="64">
        <f ca="1">SUM(COUNTIFS(RawData!$E$1:$E$272,"2.8.1",RawData!$F$1:$F$272,"N",RawData!$P$1:$P$272,"Partial"),COUNTIFS(RawData!$E$1:$E$272,"2.8.1",RawData!$F$1:$F$272,"N",RawData!$P$1:$P$272,"M2"))</f>
        <v>0</v>
      </c>
      <c r="H21" s="64">
        <f ca="1">SUM(COUNTIFS(RawData!$E$1:$E$272,"2.8.1",RawData!$F$1:$F$272,"N",RawData!$P$1:$P$272,"Yes"),COUNTIFS(RawData!$E$1:$E$272,"2.8.1",RawData!$F$1:$F$272,"N",RawData!$P$1:$P$272,"M3"))</f>
        <v>0</v>
      </c>
      <c r="I21" s="64">
        <f ca="1">COUNTIFS(RawData!$E$1:$E$272,"2.8.1",RawData!$F$1:$F$272,"N",RawData!$P$1:$P$272,"M4")</f>
        <v>0</v>
      </c>
      <c r="J21" s="64">
        <f ca="1">COUNTIFS(RawData!$E$1:$E$272,"2.8.1",RawData!$F$1:$F$272,"N",RawData!$P$1:$P$272,"M5")</f>
        <v>0</v>
      </c>
      <c r="K21" s="597">
        <f t="shared" ca="1" si="1"/>
        <v>0</v>
      </c>
      <c r="L21" s="597">
        <f ca="1">IFERROR(((I21*1)+(J21*2))/(COUNTIFS(RawData!$E$1:$E$271,"2.8.1",RawData!$F$1:$F$271,"N",RawData!$O$1:$O$271,"Maturity")-COUNTIFS(RawData!$E$1:$E$271,"2.8.1",RawData!$F$1:$F$271,"N",RawData!$O$1:$O$271,"Maturity",RawData!$P$1:$P$271,"N/A")),0)</f>
        <v>0</v>
      </c>
      <c r="M21" s="614">
        <f t="shared" ca="1" si="7"/>
        <v>0</v>
      </c>
      <c r="N21" s="624"/>
      <c r="O21" s="12"/>
      <c r="P21" s="14"/>
      <c r="Q21" s="14"/>
      <c r="R21" s="14"/>
      <c r="S21" s="625"/>
      <c r="T21" s="551"/>
      <c r="AD21" s="552">
        <v>5</v>
      </c>
      <c r="AE21" s="552">
        <v>4</v>
      </c>
      <c r="AF21" s="552">
        <v>3</v>
      </c>
      <c r="AG21" s="552">
        <v>2</v>
      </c>
      <c r="AH21" s="552">
        <v>1</v>
      </c>
    </row>
    <row r="22" spans="1:34" s="552" customFormat="1" x14ac:dyDescent="0.25">
      <c r="A22" s="636" t="s">
        <v>1597</v>
      </c>
      <c r="B22" s="602" t="s">
        <v>1697</v>
      </c>
      <c r="C22" s="608" t="s">
        <v>1698</v>
      </c>
      <c r="D22" s="1">
        <f>COUNTIFS(RawData!$E$1:$E$272,"2.8.2",RawData!$F$1:$F$272,"N")</f>
        <v>9</v>
      </c>
      <c r="E22" s="64">
        <f ca="1">COUNTIFS(RawData!$E$1:$E$272,"2.8.2",RawData!$F$1:$F$272,"N",RawData!$P$1:$P$272,"N/A")</f>
        <v>0</v>
      </c>
      <c r="F22" s="64">
        <f ca="1">SUM(COUNTIFS(RawData!$E$1:$E$272,"2.8.2",RawData!$F$1:$F$272,"N",RawData!$P$1:$P$272,"No"),COUNTIFS(RawData!$E$1:$E$272,"2.8.2",RawData!$F$1:$F$272,"N",RawData!$P$1:$P$272,"M1"))</f>
        <v>0</v>
      </c>
      <c r="G22" s="64">
        <f ca="1">SUM(COUNTIFS(RawData!$E$1:$E$272,"2.8.2",RawData!$F$1:$F$272,"N",RawData!$P$1:$P$272,"Partial"),COUNTIFS(RawData!$E$1:$E$272,"2.8.2",RawData!$F$1:$F$272,"N",RawData!$P$1:$P$272,"M2"))</f>
        <v>0</v>
      </c>
      <c r="H22" s="64">
        <f ca="1">SUM(COUNTIFS(RawData!$E$1:$E$272,"2.8.2",RawData!$F$1:$F$272,"N",RawData!$P$1:$P$272,"Yes"),COUNTIFS(RawData!$E$1:$E$272,"2.8.2",RawData!$F$1:$F$272,"N",RawData!$P$1:$P$272,"M3"))</f>
        <v>0</v>
      </c>
      <c r="I22" s="64">
        <f ca="1">COUNTIFS(RawData!$E$1:$E$272,"2.8.2",RawData!$F$1:$F$272,"N",RawData!$P$1:$P$272,"M4")</f>
        <v>0</v>
      </c>
      <c r="J22" s="64">
        <f ca="1">COUNTIFS(RawData!$E$1:$E$272,"2.8.2",RawData!$F$1:$F$272,"N",RawData!$P$1:$P$272,"M5")</f>
        <v>0</v>
      </c>
      <c r="K22" s="597">
        <f t="shared" ca="1" si="1"/>
        <v>0</v>
      </c>
      <c r="L22" s="597">
        <f ca="1">IFERROR(((I22*1)+(J22*2))/(COUNTIFS(RawData!$E$1:$E$271,"2.8.2",RawData!$F$1:$F$271,"N",RawData!$O$1:$O$271,"Maturity")-COUNTIFS(RawData!$E$1:$E$271,"2.8.2",RawData!$F$1:$F$271,"N",RawData!$O$1:$O$271,"Maturity",RawData!$P$1:$P$271,"N/A")),0)</f>
        <v>0</v>
      </c>
      <c r="M22" s="614">
        <f t="shared" ca="1" si="7"/>
        <v>0</v>
      </c>
      <c r="N22" s="626">
        <f>COUNTIFS(RawData!$E$1:$E$272,"2.8.2",RawData!$F$1:$F$272,"Y")</f>
        <v>1</v>
      </c>
      <c r="O22" s="13">
        <f ca="1">COUNTIFS(RawData!$E$1:$E$272,"2.8.2",RawData!$F$1:$F$272,"Y",RawData!$P$1:$P$272,"N/A")</f>
        <v>0</v>
      </c>
      <c r="P22" s="13">
        <f ca="1">COUNTIFS(RawData!$E$1:$E$272,"2.8.2",RawData!$F$1:$F$272,"Y",RawData!$P$1:$P$272,"No")</f>
        <v>0</v>
      </c>
      <c r="Q22" s="13">
        <f ca="1">COUNTIFS(RawData!$E$1:$E$272,"2.8.2",RawData!$F$1:$F$272,"Y",RawData!$P$1:$P$272,"Partial")</f>
        <v>0</v>
      </c>
      <c r="R22" s="13">
        <f ca="1">COUNTIFS(RawData!$E$1:$E$272,"2.8.2",RawData!$F$1:$F$272,"Y",RawData!$P$1:$P$272,"Yes")</f>
        <v>0</v>
      </c>
      <c r="S22" s="627">
        <f t="shared" ca="1" si="3"/>
        <v>0</v>
      </c>
      <c r="T22" s="551"/>
      <c r="AD22" s="552">
        <v>5</v>
      </c>
      <c r="AE22" s="552">
        <v>4</v>
      </c>
      <c r="AF22" s="552">
        <v>3</v>
      </c>
      <c r="AG22" s="552">
        <v>2</v>
      </c>
      <c r="AH22" s="552">
        <v>1</v>
      </c>
    </row>
    <row r="23" spans="1:34" s="552" customFormat="1" x14ac:dyDescent="0.25">
      <c r="A23" s="636" t="s">
        <v>1599</v>
      </c>
      <c r="B23" s="602" t="s">
        <v>1699</v>
      </c>
      <c r="C23" s="608" t="s">
        <v>1700</v>
      </c>
      <c r="D23" s="1">
        <f>COUNTIFS(RawData!$E$1:$E$272,"2.8.3",RawData!$F$1:$F$272,"N")</f>
        <v>4</v>
      </c>
      <c r="E23" s="64">
        <f ca="1">COUNTIFS(RawData!$E$1:$E$272,"2.8.3",RawData!$F$1:$F$272,"N",RawData!$P$1:$P$272,"N/A")</f>
        <v>0</v>
      </c>
      <c r="F23" s="64">
        <f ca="1">SUM(COUNTIFS(RawData!$E$1:$E$272,"2.8.3",RawData!$F$1:$F$272,"N",RawData!$P$1:$P$272,"No"),COUNTIFS(RawData!$E$1:$E$272,"2.8.3",RawData!$F$1:$F$272,"N",RawData!$P$1:$P$272,"M1"))</f>
        <v>0</v>
      </c>
      <c r="G23" s="64">
        <f ca="1">SUM(COUNTIFS(RawData!$E$1:$E$272,"2.8.3",RawData!$F$1:$F$272,"N",RawData!$P$1:$P$272,"Partial"),COUNTIFS(RawData!$E$1:$E$272,"2.8.3",RawData!$F$1:$F$272,"N",RawData!$P$1:$P$272,"M2"))</f>
        <v>0</v>
      </c>
      <c r="H23" s="64">
        <f ca="1">SUM(COUNTIFS(RawData!$E$1:$E$272,"2.8.3",RawData!$F$1:$F$272,"N",RawData!$P$1:$P$272,"Yes"),COUNTIFS(RawData!$E$1:$E$272,"2.8.3",RawData!$F$1:$F$272,"N",RawData!$P$1:$P$272,"M3"))</f>
        <v>0</v>
      </c>
      <c r="I23" s="64">
        <f ca="1">COUNTIFS(RawData!$E$1:$E$272,"2.8.3",RawData!$F$1:$F$272,"N",RawData!$P$1:$P$272,"M4")</f>
        <v>0</v>
      </c>
      <c r="J23" s="64">
        <f ca="1">COUNTIFS(RawData!$E$1:$E$272,"2.8.3",RawData!$F$1:$F$272,"N",RawData!$P$1:$P$272,"M5")</f>
        <v>0</v>
      </c>
      <c r="K23" s="597">
        <f t="shared" ca="1" si="1"/>
        <v>0</v>
      </c>
      <c r="L23" s="597">
        <f ca="1">IFERROR(((I23*1)+(J23*2))/(COUNTIFS(RawData!$E$1:$E$271,"2.8.3",RawData!$F$1:$F$271,"N",RawData!$O$1:$O$271,"Maturity")-COUNTIFS(RawData!$E$1:$E$271,"2.8.3",RawData!$F$1:$F$271,"N",RawData!$O$1:$O$271,"Maturity",RawData!$P$1:$P$271,"N/A")),0)</f>
        <v>0</v>
      </c>
      <c r="M23" s="614">
        <f t="shared" ca="1" si="7"/>
        <v>0</v>
      </c>
      <c r="N23" s="624"/>
      <c r="O23" s="12"/>
      <c r="P23" s="12"/>
      <c r="Q23" s="12"/>
      <c r="R23" s="12"/>
      <c r="S23" s="629"/>
      <c r="T23" s="551"/>
      <c r="AD23" s="552">
        <v>5</v>
      </c>
      <c r="AE23" s="552">
        <v>4</v>
      </c>
      <c r="AF23" s="552">
        <v>3</v>
      </c>
      <c r="AG23" s="552">
        <v>2</v>
      </c>
      <c r="AH23" s="552">
        <v>1</v>
      </c>
    </row>
    <row r="24" spans="1:34" s="552" customFormat="1" x14ac:dyDescent="0.25">
      <c r="A24" s="636" t="s">
        <v>1600</v>
      </c>
      <c r="B24" s="602" t="s">
        <v>1701</v>
      </c>
      <c r="C24" s="608" t="s">
        <v>1702</v>
      </c>
      <c r="D24" s="1">
        <f>COUNTIFS(RawData!$E$1:$E$272,"2.8.4",RawData!$F$1:$F$272,"N")</f>
        <v>5</v>
      </c>
      <c r="E24" s="64">
        <f ca="1">COUNTIFS(RawData!$E$1:$E$272,"2.8.4",RawData!$F$1:$F$272,"N",RawData!$P$1:$P$272,"N/A")</f>
        <v>0</v>
      </c>
      <c r="F24" s="64">
        <f ca="1">SUM(COUNTIFS(RawData!$E$1:$E$272,"2.8.4",RawData!$F$1:$F$272,"N",RawData!$P$1:$P$272,"No"),COUNTIFS(RawData!$E$1:$E$272,"2.8.4",RawData!$F$1:$F$272,"N",RawData!$P$1:$P$272,"M1"))</f>
        <v>0</v>
      </c>
      <c r="G24" s="64">
        <f ca="1">SUM(COUNTIFS(RawData!$E$1:$E$272,"2.8.4",RawData!$F$1:$F$272,"N",RawData!$P$1:$P$272,"Partial"),COUNTIFS(RawData!$E$1:$E$272,"2.8.4",RawData!$F$1:$F$272,"N",RawData!$P$1:$P$272,"M2"))</f>
        <v>0</v>
      </c>
      <c r="H24" s="64">
        <f ca="1">SUM(COUNTIFS(RawData!$E$1:$E$272,"2.8.4",RawData!$F$1:$F$272,"N",RawData!$P$1:$P$272,"Yes"),COUNTIFS(RawData!$E$1:$E$272,"2.8.4",RawData!$F$1:$F$272,"N",RawData!$P$1:$P$272,"M3"))</f>
        <v>0</v>
      </c>
      <c r="I24" s="64">
        <f ca="1">COUNTIFS(RawData!$E$1:$E$272,"2.8.4",RawData!$F$1:$F$272,"N",RawData!$P$1:$P$272,"M4")</f>
        <v>0</v>
      </c>
      <c r="J24" s="64">
        <f ca="1">COUNTIFS(RawData!$E$1:$E$272,"2.8.4",RawData!$F$1:$F$272,"N",RawData!$P$1:$P$272,"M5")</f>
        <v>0</v>
      </c>
      <c r="K24" s="597">
        <f t="shared" ca="1" si="1"/>
        <v>0</v>
      </c>
      <c r="L24" s="597">
        <f ca="1">IFERROR(((I24*1)+(J24*2))/(COUNTIFS(RawData!$E$1:$E$271,"2.8.4",RawData!$F$1:$F$271,"N",RawData!$O$1:$O$271,"Maturity")-COUNTIFS(RawData!$E$1:$E$271,"2.8.4",RawData!$F$1:$F$271,"N",RawData!$O$1:$O$271,"Maturity",RawData!$P$1:$P$271,"N/A")),0)</f>
        <v>0</v>
      </c>
      <c r="M24" s="614">
        <f t="shared" ca="1" si="7"/>
        <v>0</v>
      </c>
      <c r="N24" s="626">
        <f>COUNTIFS(RawData!$E$1:$E$272,"2.8.4",RawData!$F$1:$F$272,"Y")</f>
        <v>3</v>
      </c>
      <c r="O24" s="13">
        <f ca="1">COUNTIFS(RawData!$E$1:$E$272,"2.8.4",RawData!$F$1:$F$272,"Y",RawData!$P$1:$P$272,"N/A")</f>
        <v>0</v>
      </c>
      <c r="P24" s="13">
        <f ca="1">COUNTIFS(RawData!$E$1:$E$272,"2.8.4",RawData!$F$1:$F$272,"Y",RawData!$P$1:$P$272,"No")</f>
        <v>0</v>
      </c>
      <c r="Q24" s="13">
        <f ca="1">COUNTIFS(RawData!$E$1:$E$272,"2.8.4",RawData!$F$1:$F$272,"Y",RawData!$P$1:$P$272,"Partial")</f>
        <v>0</v>
      </c>
      <c r="R24" s="13">
        <f ca="1">COUNTIFS(RawData!$E$1:$E$272,"2.8.4",RawData!$F$1:$F$272,"Y",RawData!$P$1:$P$272,"Yes")</f>
        <v>0</v>
      </c>
      <c r="S24" s="627">
        <f t="shared" ca="1" si="3"/>
        <v>0</v>
      </c>
      <c r="T24" s="551"/>
      <c r="AD24" s="552">
        <v>5</v>
      </c>
      <c r="AE24" s="552">
        <v>4</v>
      </c>
      <c r="AF24" s="552">
        <v>3</v>
      </c>
      <c r="AG24" s="552">
        <v>2</v>
      </c>
      <c r="AH24" s="552">
        <v>1</v>
      </c>
    </row>
    <row r="25" spans="1:34" s="552" customFormat="1" x14ac:dyDescent="0.25">
      <c r="A25" s="636" t="s">
        <v>1604</v>
      </c>
      <c r="B25" s="602" t="s">
        <v>1703</v>
      </c>
      <c r="C25" s="608" t="s">
        <v>1704</v>
      </c>
      <c r="D25" s="1">
        <f>COUNTIFS(RawData!$E$1:$E$272,"2.8.5",RawData!$F$1:$F$272,"N")</f>
        <v>13</v>
      </c>
      <c r="E25" s="64">
        <f ca="1">COUNTIFS(RawData!$E$1:$E$272,"2.8.5",RawData!$F$1:$F$272,"N",RawData!$P$1:$P$272,"N/A")</f>
        <v>0</v>
      </c>
      <c r="F25" s="64">
        <f ca="1">SUM(COUNTIFS(RawData!$E$1:$E$272,"2.8.5",RawData!$F$1:$F$272,"N",RawData!$P$1:$P$272,"No"),COUNTIFS(RawData!$E$1:$E$272,"2.8.5",RawData!$F$1:$F$272,"N",RawData!$P$1:$P$272,"M1"))</f>
        <v>0</v>
      </c>
      <c r="G25" s="64">
        <f ca="1">SUM(COUNTIFS(RawData!$E$1:$E$272,"2.8.5",RawData!$F$1:$F$272,"N",RawData!$P$1:$P$272,"Partial"),COUNTIFS(RawData!$E$1:$E$272,"2.8.5",RawData!$F$1:$F$272,"N",RawData!$P$1:$P$272,"M2"))</f>
        <v>0</v>
      </c>
      <c r="H25" s="64">
        <f ca="1">SUM(COUNTIFS(RawData!$E$1:$E$272,"2.8.5",RawData!$F$1:$F$272,"N",RawData!$P$1:$P$272,"Yes"),COUNTIFS(RawData!$E$1:$E$272,"2.8.5",RawData!$F$1:$F$272,"N",RawData!$P$1:$P$272,"M3"))</f>
        <v>0</v>
      </c>
      <c r="I25" s="64">
        <f ca="1">COUNTIFS(RawData!$E$1:$E$272,"2.8.5",RawData!$F$1:$F$272,"N",RawData!$P$1:$P$272,"M4")</f>
        <v>0</v>
      </c>
      <c r="J25" s="64">
        <f ca="1">COUNTIFS(RawData!$E$1:$E$272,"2.8.5",RawData!$F$1:$F$272,"N",RawData!$P$1:$P$272,"M5")</f>
        <v>0</v>
      </c>
      <c r="K25" s="597">
        <f t="shared" ca="1" si="1"/>
        <v>0</v>
      </c>
      <c r="L25" s="597">
        <f ca="1">IFERROR(((I25*1)+(J25*2))/(COUNTIFS(RawData!$E$1:$E$271,"2.8.5",RawData!$F$1:$F$271,"N",RawData!$O$1:$O$271,"Maturity")-COUNTIFS(RawData!$E$1:$E$271,"2.8.5",RawData!$F$1:$F$271,"N",RawData!$O$1:$O$271,"Maturity",RawData!$P$1:$P$271,"N/A")),0)</f>
        <v>0</v>
      </c>
      <c r="M25" s="614">
        <f t="shared" ca="1" si="7"/>
        <v>0</v>
      </c>
      <c r="N25" s="626">
        <f>COUNTIFS(RawData!$E$1:$E$272,"2.8.5",RawData!$F$1:$F$272,"Y")</f>
        <v>2</v>
      </c>
      <c r="O25" s="13">
        <f ca="1">COUNTIFS(RawData!$E$1:$E$272,"2.8.5",RawData!$F$1:$F$272,"Y",RawData!$P$1:$P$272,"N/A")</f>
        <v>0</v>
      </c>
      <c r="P25" s="13">
        <f ca="1">COUNTIFS(RawData!$E$1:$E$272,"2.8.5",RawData!$F$1:$F$272,"Y",RawData!$P$1:$P$272,"No")</f>
        <v>0</v>
      </c>
      <c r="Q25" s="13">
        <f ca="1">COUNTIFS(RawData!$E$1:$E$272,"2.8.5",RawData!$F$1:$F$272,"Y",RawData!$P$1:$P$272,"Partial")</f>
        <v>0</v>
      </c>
      <c r="R25" s="13">
        <f ca="1">COUNTIFS(RawData!$E$1:$E$272,"2.8.5",RawData!$F$1:$F$272,"Y",RawData!$P$1:$P$272,"Yes")</f>
        <v>0</v>
      </c>
      <c r="S25" s="627">
        <f t="shared" ca="1" si="3"/>
        <v>0</v>
      </c>
      <c r="T25" s="551"/>
      <c r="AD25" s="552">
        <v>5</v>
      </c>
      <c r="AE25" s="552">
        <v>4</v>
      </c>
      <c r="AF25" s="552">
        <v>3</v>
      </c>
      <c r="AG25" s="552">
        <v>2</v>
      </c>
      <c r="AH25" s="552">
        <v>1</v>
      </c>
    </row>
    <row r="26" spans="1:34" s="552" customFormat="1" x14ac:dyDescent="0.25">
      <c r="A26" s="636" t="s">
        <v>1606</v>
      </c>
      <c r="B26" s="602" t="s">
        <v>1705</v>
      </c>
      <c r="C26" s="608" t="s">
        <v>1706</v>
      </c>
      <c r="D26" s="1">
        <f>COUNTIFS(RawData!$E$1:$E$272,"2.8.6",RawData!$F$1:$F$272,"N")</f>
        <v>4</v>
      </c>
      <c r="E26" s="64">
        <f ca="1">COUNTIFS(RawData!$E$1:$E$272,"2.8.6",RawData!$F$1:$F$272,"N",RawData!$P$1:$P$272,"N/A")</f>
        <v>0</v>
      </c>
      <c r="F26" s="64">
        <f ca="1">SUM(COUNTIFS(RawData!$E$1:$E$272,"2.8.6",RawData!$F$1:$F$272,"N",RawData!$P$1:$P$272,"No"),COUNTIFS(RawData!$E$1:$E$272,"2.8.6",RawData!$F$1:$F$272,"N",RawData!$P$1:$P$272,"M1"))</f>
        <v>0</v>
      </c>
      <c r="G26" s="64">
        <f ca="1">SUM(COUNTIFS(RawData!$E$1:$E$272,"2.8.6",RawData!$F$1:$F$272,"N",RawData!$P$1:$P$272,"Partial"),COUNTIFS(RawData!$E$1:$E$272,"2.8.6",RawData!$F$1:$F$272,"N",RawData!$P$1:$P$272,"M2"))</f>
        <v>0</v>
      </c>
      <c r="H26" s="64">
        <f ca="1">SUM(COUNTIFS(RawData!$E$1:$E$272,"2.8.6",RawData!$F$1:$F$272,"N",RawData!$P$1:$P$272,"Yes"),COUNTIFS(RawData!$E$1:$E$272,"2.8.6",RawData!$F$1:$F$272,"N",RawData!$P$1:$P$272,"M3"))</f>
        <v>0</v>
      </c>
      <c r="I26" s="64">
        <f ca="1">COUNTIFS(RawData!$E$1:$E$272,"2.8.6",RawData!$F$1:$F$272,"N",RawData!$P$1:$P$272,"M4")</f>
        <v>0</v>
      </c>
      <c r="J26" s="64">
        <f ca="1">COUNTIFS(RawData!$E$1:$E$272,"2.8.6",RawData!$F$1:$F$272,"N",RawData!$P$1:$P$272,"M5")</f>
        <v>0</v>
      </c>
      <c r="K26" s="597">
        <f t="shared" ca="1" si="1"/>
        <v>0</v>
      </c>
      <c r="L26" s="597">
        <f ca="1">IFERROR(((I26*1)+(J26*2))/(COUNTIFS(RawData!$E$1:$E$271,"2.8.6",RawData!$F$1:$F$271,"N",RawData!$O$1:$O$271,"Maturity")-COUNTIFS(RawData!$E$1:$E$271,"2.8.6",RawData!$F$1:$F$271,"N",RawData!$O$1:$O$271,"Maturity",RawData!$P$1:$P$271,"N/A")),0)</f>
        <v>0</v>
      </c>
      <c r="M26" s="614">
        <f t="shared" ca="1" si="7"/>
        <v>0</v>
      </c>
      <c r="N26" s="624"/>
      <c r="O26" s="12"/>
      <c r="P26" s="12"/>
      <c r="Q26" s="12"/>
      <c r="R26" s="12"/>
      <c r="S26" s="629"/>
      <c r="T26" s="551"/>
      <c r="AD26" s="552">
        <v>5</v>
      </c>
      <c r="AE26" s="552">
        <v>4</v>
      </c>
      <c r="AF26" s="552">
        <v>3</v>
      </c>
      <c r="AG26" s="552">
        <v>2</v>
      </c>
      <c r="AH26" s="552">
        <v>1</v>
      </c>
    </row>
    <row r="27" spans="1:34" s="552" customFormat="1" x14ac:dyDescent="0.25">
      <c r="A27" s="636" t="s">
        <v>1610</v>
      </c>
      <c r="B27" s="602" t="s">
        <v>1707</v>
      </c>
      <c r="C27" s="608" t="s">
        <v>1708</v>
      </c>
      <c r="D27" s="1">
        <f>COUNTIFS(RawData!$E$1:$E$272,"2.8.7",RawData!$F$1:$F$272,"N")</f>
        <v>13</v>
      </c>
      <c r="E27" s="64">
        <f ca="1">COUNTIFS(RawData!$E$1:$E$272,"2.8.7",RawData!$F$1:$F$272,"N",RawData!$P$1:$P$272,"N/A")</f>
        <v>0</v>
      </c>
      <c r="F27" s="64">
        <f ca="1">SUM(COUNTIFS(RawData!$E$1:$E$272,"2.8.7",RawData!$F$1:$F$272,"N",RawData!$P$1:$P$272,"No"),COUNTIFS(RawData!$E$1:$E$272,"2.8.7",RawData!$F$1:$F$272,"N",RawData!$P$1:$P$272,"M1"))</f>
        <v>0</v>
      </c>
      <c r="G27" s="64">
        <f ca="1">SUM(COUNTIFS(RawData!$E$1:$E$272,"2.8.7",RawData!$F$1:$F$272,"N",RawData!$P$1:$P$272,"Partial"),COUNTIFS(RawData!$E$1:$E$272,"2.8.7",RawData!$F$1:$F$272,"N",RawData!$P$1:$P$272,"M2"))</f>
        <v>0</v>
      </c>
      <c r="H27" s="64">
        <f ca="1">SUM(COUNTIFS(RawData!$E$1:$E$272,"2.8.7",RawData!$F$1:$F$272,"N",RawData!$P$1:$P$272,"Yes"),COUNTIFS(RawData!$E$1:$E$272,"2.8.7",RawData!$F$1:$F$272,"N",RawData!$P$1:$P$272,"M3"))</f>
        <v>0</v>
      </c>
      <c r="I27" s="64">
        <f ca="1">COUNTIFS(RawData!$E$1:$E$272,"2.8.7",RawData!$F$1:$F$272,"N",RawData!$P$1:$P$272,"M4")</f>
        <v>0</v>
      </c>
      <c r="J27" s="64">
        <f ca="1">COUNTIFS(RawData!$E$1:$E$272,"2.8.7",RawData!$F$1:$F$272,"N",RawData!$P$1:$P$272,"M5")</f>
        <v>0</v>
      </c>
      <c r="K27" s="597">
        <f t="shared" ca="1" si="1"/>
        <v>0</v>
      </c>
      <c r="L27" s="597">
        <f ca="1">IFERROR(((I27*1)+(J27*2))/(COUNTIFS(RawData!$E$1:$E$271,"2.8.7",RawData!$F$1:$F$271,"N",RawData!$O$1:$O$271,"Maturity")-COUNTIFS(RawData!$E$1:$E$271,"2.8.7",RawData!$F$1:$F$271,"N",RawData!$O$1:$O$271,"Maturity",RawData!$P$1:$P$271,"N/A")),0)</f>
        <v>0</v>
      </c>
      <c r="M27" s="614">
        <f t="shared" ca="1" si="7"/>
        <v>0</v>
      </c>
      <c r="N27" s="624"/>
      <c r="O27" s="12"/>
      <c r="P27" s="12"/>
      <c r="Q27" s="12"/>
      <c r="R27" s="12"/>
      <c r="S27" s="629"/>
      <c r="T27" s="551"/>
      <c r="AD27" s="552">
        <v>5</v>
      </c>
      <c r="AE27" s="552">
        <v>4</v>
      </c>
      <c r="AF27" s="552">
        <v>3</v>
      </c>
      <c r="AG27" s="552">
        <v>2</v>
      </c>
      <c r="AH27" s="552">
        <v>1</v>
      </c>
    </row>
    <row r="28" spans="1:34" s="552" customFormat="1" x14ac:dyDescent="0.25">
      <c r="A28" s="636" t="s">
        <v>1612</v>
      </c>
      <c r="B28" s="602" t="s">
        <v>1709</v>
      </c>
      <c r="C28" s="608" t="s">
        <v>1710</v>
      </c>
      <c r="D28" s="1">
        <f>COUNTIFS(RawData!$E$1:$E$272,"2.8.8",RawData!$F$1:$F$272,"N")</f>
        <v>2</v>
      </c>
      <c r="E28" s="64">
        <f ca="1">COUNTIFS(RawData!$E$1:$E$272,"2.8.8",RawData!$F$1:$F$272,"N",RawData!$P$1:$P$272,"N/A")</f>
        <v>0</v>
      </c>
      <c r="F28" s="64">
        <f ca="1">SUM(COUNTIFS(RawData!$E$1:$E$272,"2.8.8",RawData!$F$1:$F$272,"N",RawData!$P$1:$P$272,"No"),COUNTIFS(RawData!$E$1:$E$272,"2.8.8",RawData!$F$1:$F$272,"N",RawData!$P$1:$P$272,"M1"))</f>
        <v>0</v>
      </c>
      <c r="G28" s="64">
        <f ca="1">SUM(COUNTIFS(RawData!$E$1:$E$272,"2.8.8",RawData!$F$1:$F$272,"N",RawData!$P$1:$P$272,"Partial"),COUNTIFS(RawData!$E$1:$E$272,"2.8.8",RawData!$F$1:$F$272,"N",RawData!$P$1:$P$272,"M2"))</f>
        <v>0</v>
      </c>
      <c r="H28" s="64">
        <f ca="1">SUM(COUNTIFS(RawData!$E$1:$E$272,"2.8.8",RawData!$F$1:$F$272,"N",RawData!$P$1:$P$272,"Yes"),COUNTIFS(RawData!$E$1:$E$272,"2.8.8",RawData!$F$1:$F$272,"N",RawData!$P$1:$P$272,"M3"))</f>
        <v>0</v>
      </c>
      <c r="I28" s="64">
        <f ca="1">COUNTIFS(RawData!$E$1:$E$272,"2.8.8",RawData!$F$1:$F$272,"N",RawData!$P$1:$P$272,"M4")</f>
        <v>0</v>
      </c>
      <c r="J28" s="64">
        <f ca="1">COUNTIFS(RawData!$E$1:$E$272,"2.8.8",RawData!$F$1:$F$272,"N",RawData!$P$1:$P$272,"M5")</f>
        <v>0</v>
      </c>
      <c r="K28" s="597">
        <f t="shared" ca="1" si="1"/>
        <v>0</v>
      </c>
      <c r="L28" s="597">
        <f ca="1">IFERROR(((I28*1)+(J28*2))/(COUNTIFS(RawData!$E$1:$E$271,"2.8.8",RawData!$F$1:$F$271,"N",RawData!$O$1:$O$271,"Maturity")-COUNTIFS(RawData!$E$1:$E$271,"2.8.8",RawData!$F$1:$F$271,"N",RawData!$O$1:$O$271,"Maturity",RawData!$P$1:$P$271,"N/A")),0)</f>
        <v>0</v>
      </c>
      <c r="M28" s="614">
        <f t="shared" ca="1" si="7"/>
        <v>0</v>
      </c>
      <c r="N28" s="626">
        <f>COUNTIFS(RawData!$E$1:$E$272,"2.8.8",RawData!$F$1:$F$272,"Y")</f>
        <v>4</v>
      </c>
      <c r="O28" s="13">
        <f ca="1">COUNTIFS(RawData!$E$1:$E$272,"2.8.8",RawData!$F$1:$F$272,"Y",RawData!$P$1:$P$272,"N/A")</f>
        <v>0</v>
      </c>
      <c r="P28" s="13">
        <f ca="1">COUNTIFS(RawData!$E$1:$E$272,"2.8.8",RawData!$F$1:$F$272,"Y",RawData!$P$1:$P$272,"No")</f>
        <v>0</v>
      </c>
      <c r="Q28" s="13">
        <f ca="1">COUNTIFS(RawData!$E$1:$E$272,"2.8.8",RawData!$F$1:$F$272,"Y",RawData!$P$1:$P$272,"Partial")</f>
        <v>0</v>
      </c>
      <c r="R28" s="13">
        <f ca="1">COUNTIFS(RawData!$E$1:$E$272,"2.8.8",RawData!$F$1:$F$272,"Y",RawData!$P$1:$P$272,"Yes")</f>
        <v>0</v>
      </c>
      <c r="S28" s="627">
        <f t="shared" ca="1" si="3"/>
        <v>0</v>
      </c>
      <c r="T28" s="551"/>
      <c r="AD28" s="552">
        <v>5</v>
      </c>
      <c r="AE28" s="552">
        <v>4</v>
      </c>
      <c r="AF28" s="552">
        <v>3</v>
      </c>
      <c r="AG28" s="552">
        <v>2</v>
      </c>
      <c r="AH28" s="552">
        <v>1</v>
      </c>
    </row>
    <row r="29" spans="1:34" s="552" customFormat="1" x14ac:dyDescent="0.25">
      <c r="A29" s="636" t="s">
        <v>1615</v>
      </c>
      <c r="B29" s="602" t="s">
        <v>1711</v>
      </c>
      <c r="C29" s="608" t="s">
        <v>1712</v>
      </c>
      <c r="D29" s="1">
        <f>COUNTIFS(RawData!$E$1:$E$272,"2.8.9",RawData!$F$1:$F$272,"N")</f>
        <v>4</v>
      </c>
      <c r="E29" s="64">
        <f ca="1">COUNTIFS(RawData!$E$1:$E$272,"2.8.9",RawData!$F$1:$F$272,"N",RawData!$P$1:$P$272,"N/A")</f>
        <v>0</v>
      </c>
      <c r="F29" s="64">
        <f ca="1">SUM(COUNTIFS(RawData!$E$1:$E$272,"2.8.9",RawData!$F$1:$F$272,"N",RawData!$P$1:$P$272,"No"),COUNTIFS(RawData!$E$1:$E$272,"2.8.9",RawData!$F$1:$F$272,"N",RawData!$P$1:$P$272,"M1"))</f>
        <v>0</v>
      </c>
      <c r="G29" s="64">
        <f ca="1">SUM(COUNTIFS(RawData!$E$1:$E$272,"2.8.9",RawData!$F$1:$F$272,"N",RawData!$P$1:$P$272,"Partial"),COUNTIFS(RawData!$E$1:$E$272,"2.8.9",RawData!$F$1:$F$272,"N",RawData!$P$1:$P$272,"M2"))</f>
        <v>0</v>
      </c>
      <c r="H29" s="64">
        <f ca="1">SUM(COUNTIFS(RawData!$E$1:$E$272,"2.8.9",RawData!$F$1:$F$272,"N",RawData!$P$1:$P$272,"Yes"),COUNTIFS(RawData!$E$1:$E$272,"2.8.9",RawData!$F$1:$F$272,"N",RawData!$P$1:$P$272,"M3"))</f>
        <v>0</v>
      </c>
      <c r="I29" s="64">
        <f ca="1">COUNTIFS(RawData!$E$1:$E$272,"2.8.9",RawData!$F$1:$F$272,"N",RawData!$P$1:$P$272,"M4")</f>
        <v>0</v>
      </c>
      <c r="J29" s="64">
        <f ca="1">COUNTIFS(RawData!$E$1:$E$272,"2.8.9",RawData!$F$1:$F$272,"N",RawData!$P$1:$P$272,"M5")</f>
        <v>0</v>
      </c>
      <c r="K29" s="597">
        <f t="shared" ca="1" si="1"/>
        <v>0</v>
      </c>
      <c r="L29" s="597">
        <f ca="1">IFERROR(((I29*1)+(J29*2))/(COUNTIFS(RawData!$E$1:$E$271,"2.8.9",RawData!$F$1:$F$271,"N",RawData!$O$1:$O$271,"Maturity")-COUNTIFS(RawData!$E$1:$E$271,"2.8.9",RawData!$F$1:$F$271,"N",RawData!$O$1:$O$271,"Maturity",RawData!$P$1:$P$271,"N/A")),0)</f>
        <v>0</v>
      </c>
      <c r="M29" s="614">
        <f t="shared" ca="1" si="7"/>
        <v>0</v>
      </c>
      <c r="N29" s="624"/>
      <c r="O29" s="12"/>
      <c r="P29" s="14"/>
      <c r="Q29" s="14"/>
      <c r="R29" s="14"/>
      <c r="S29" s="625"/>
      <c r="T29" s="551"/>
      <c r="AD29" s="552">
        <v>5</v>
      </c>
      <c r="AE29" s="552">
        <v>4</v>
      </c>
      <c r="AF29" s="552">
        <v>3</v>
      </c>
      <c r="AG29" s="552">
        <v>2</v>
      </c>
      <c r="AH29" s="552">
        <v>1</v>
      </c>
    </row>
    <row r="30" spans="1:34" s="552" customFormat="1" x14ac:dyDescent="0.25">
      <c r="A30" s="636" t="s">
        <v>1616</v>
      </c>
      <c r="B30" s="602" t="s">
        <v>1713</v>
      </c>
      <c r="C30" s="608" t="s">
        <v>1714</v>
      </c>
      <c r="D30" s="1">
        <f>COUNTIFS(RawData!$E$1:$E$272,"2.8.10",RawData!$F$1:$F$272,"N")</f>
        <v>9</v>
      </c>
      <c r="E30" s="64">
        <f ca="1">COUNTIFS(RawData!$E$1:$E$272,"2.8.10",RawData!$F$1:$F$272,"N",RawData!$P$1:$P$272,"N/A")</f>
        <v>1</v>
      </c>
      <c r="F30" s="64">
        <f ca="1">SUM(COUNTIFS(RawData!$E$1:$E$272,"2.8.10",RawData!$F$1:$F$272,"N",RawData!$P$1:$P$272,"No"),COUNTIFS(RawData!$E$1:$E$272,"2.8.10",RawData!$F$1:$F$272,"N",RawData!$P$1:$P$272,"M1"))</f>
        <v>0</v>
      </c>
      <c r="G30" s="64">
        <f ca="1">SUM(COUNTIFS(RawData!$E$1:$E$272,"2.8.10",RawData!$F$1:$F$272,"N",RawData!$P$1:$P$272,"Partial"),COUNTIFS(RawData!$E$1:$E$272,"2.8.10",RawData!$F$1:$F$272,"N",RawData!$P$1:$P$272,"M2"))</f>
        <v>0</v>
      </c>
      <c r="H30" s="64">
        <f ca="1">SUM(COUNTIFS(RawData!$E$1:$E$272,"2.8.10",RawData!$F$1:$F$272,"N",RawData!$P$1:$P$272,"Yes"),COUNTIFS(RawData!$E$1:$E$272,"2.8.10",RawData!$F$1:$F$272,"N",RawData!$P$1:$P$272,"M3"))</f>
        <v>0</v>
      </c>
      <c r="I30" s="64">
        <f ca="1">COUNTIFS(RawData!$E$1:$E$272,"2.8.10",RawData!$F$1:$F$272,"N",RawData!$P$1:$P$272,"M4")</f>
        <v>0</v>
      </c>
      <c r="J30" s="64">
        <f ca="1">COUNTIFS(RawData!$E$1:$E$272,"2.8.10",RawData!$F$1:$F$272,"N",RawData!$P$1:$P$272,"M5")</f>
        <v>0</v>
      </c>
      <c r="K30" s="597">
        <f t="shared" ca="1" si="1"/>
        <v>0</v>
      </c>
      <c r="L30" s="597">
        <f ca="1">IFERROR(((I30*1)+(J30*2))/(COUNTIFS(RawData!$E$1:$E$271,"2.8.10",RawData!$F$1:$F$271,"N",RawData!$O$1:$O$271,"Maturity")-COUNTIFS(RawData!$E$1:$E$271,"2.8.10",RawData!$F$1:$F$271,"N",RawData!$O$1:$O$271,"Maturity",RawData!$P$1:$P$271,"N/A")),0)</f>
        <v>0</v>
      </c>
      <c r="M30" s="614">
        <f t="shared" ca="1" si="7"/>
        <v>0</v>
      </c>
      <c r="N30" s="626">
        <f>COUNTIFS(RawData!$E$1:$E$272,"2.8.10",RawData!$F$1:$F$272,"Y")</f>
        <v>1</v>
      </c>
      <c r="O30" s="13">
        <f ca="1">COUNTIFS(RawData!$E$1:$E$272,"2.8.10",RawData!$F$1:$F$272,"Y",RawData!$P$1:$P$272,"N/A")</f>
        <v>0</v>
      </c>
      <c r="P30" s="13">
        <f ca="1">COUNTIFS(RawData!$E$1:$E$272,"2.8.10",RawData!$F$1:$F$272,"Y",RawData!$P$1:$P$272,"No")</f>
        <v>0</v>
      </c>
      <c r="Q30" s="13">
        <f ca="1">COUNTIFS(RawData!$E$1:$E$272,"2.8.10",RawData!$F$1:$F$272,"Y",RawData!$P$1:$P$272,"Partial")</f>
        <v>0</v>
      </c>
      <c r="R30" s="13">
        <f ca="1">COUNTIFS(RawData!$E$1:$E$272,"2.8.10",RawData!$F$1:$F$272,"Y",RawData!$P$1:$P$272,"Yes")</f>
        <v>0</v>
      </c>
      <c r="S30" s="627">
        <f t="shared" ca="1" si="3"/>
        <v>0</v>
      </c>
      <c r="T30" s="551"/>
      <c r="AD30" s="552">
        <v>5</v>
      </c>
      <c r="AE30" s="552">
        <v>4</v>
      </c>
      <c r="AF30" s="552">
        <v>3</v>
      </c>
      <c r="AG30" s="552">
        <v>2</v>
      </c>
      <c r="AH30" s="552">
        <v>1</v>
      </c>
    </row>
    <row r="31" spans="1:34" s="552" customFormat="1" x14ac:dyDescent="0.25">
      <c r="A31" s="636" t="s">
        <v>1617</v>
      </c>
      <c r="B31" s="602" t="s">
        <v>1715</v>
      </c>
      <c r="C31" s="608" t="s">
        <v>1716</v>
      </c>
      <c r="D31" s="1">
        <f>COUNTIFS(RawData!$E$1:$E$272,"2.8.11",RawData!$F$1:$F$272,"N")</f>
        <v>3</v>
      </c>
      <c r="E31" s="64">
        <f ca="1">COUNTIFS(RawData!$E$1:$E$272,"2.8.11",RawData!$F$1:$F$272,"N",RawData!$P$1:$P$272,"N/A")</f>
        <v>0</v>
      </c>
      <c r="F31" s="64">
        <f ca="1">SUM(COUNTIFS(RawData!$E$1:$E$272,"2.8.11",RawData!$F$1:$F$272,"N",RawData!$P$1:$P$272,"No"),COUNTIFS(RawData!$E$1:$E$272,"2.8.11",RawData!$F$1:$F$272,"N",RawData!$P$1:$P$272,"M1"))</f>
        <v>0</v>
      </c>
      <c r="G31" s="64">
        <f ca="1">SUM(COUNTIFS(RawData!$E$1:$E$272,"2.8.11",RawData!$F$1:$F$272,"N",RawData!$P$1:$P$272,"Partial"),COUNTIFS(RawData!$E$1:$E$272,"2.8.11",RawData!$F$1:$F$272,"N",RawData!$P$1:$P$272,"M2"))</f>
        <v>0</v>
      </c>
      <c r="H31" s="64">
        <f ca="1">SUM(COUNTIFS(RawData!$E$1:$E$272,"2.8.11",RawData!$F$1:$F$272,"N",RawData!$P$1:$P$272,"Yes"),COUNTIFS(RawData!$E$1:$E$272,"2.8.11",RawData!$F$1:$F$272,"N",RawData!$P$1:$P$272,"M3"))</f>
        <v>0</v>
      </c>
      <c r="I31" s="64">
        <f ca="1">COUNTIFS(RawData!$E$1:$E$272,"2.8.11",RawData!$F$1:$F$272,"N",RawData!$P$1:$P$272,"M4")</f>
        <v>0</v>
      </c>
      <c r="J31" s="64">
        <f ca="1">COUNTIFS(RawData!$E$1:$E$272,"2.8.11",RawData!$F$1:$F$272,"N",RawData!$P$1:$P$272,"M5")</f>
        <v>0</v>
      </c>
      <c r="K31" s="597">
        <f t="shared" ca="1" si="1"/>
        <v>0</v>
      </c>
      <c r="L31" s="597">
        <f ca="1">IFERROR(((I31*1)+(J31*2))/(COUNTIFS(RawData!$E$1:$E$271,"2.8.11",RawData!$F$1:$F$271,"N",RawData!$O$1:$O$271,"Maturity")-COUNTIFS(RawData!$E$1:$E$271,"2.8.11",RawData!$F$1:$F$271,"N",RawData!$O$1:$O$271,"Maturity",RawData!$P$1:$P$271,"N/A")),0)</f>
        <v>0</v>
      </c>
      <c r="M31" s="614">
        <f t="shared" ca="1" si="7"/>
        <v>0</v>
      </c>
      <c r="N31" s="626">
        <f>COUNTIFS(RawData!$E$1:$E$272,"2.8.11",RawData!$F$1:$F$272,"Y")</f>
        <v>1</v>
      </c>
      <c r="O31" s="13">
        <f ca="1">COUNTIFS(RawData!$E$1:$E$272,"2.8.11",RawData!$F$1:$F$272,"Y",RawData!$P$1:$P$272,"N/A")</f>
        <v>0</v>
      </c>
      <c r="P31" s="13">
        <f ca="1">COUNTIFS(RawData!$E$1:$E$272,"2.8.11",RawData!$F$1:$F$272,"Y",RawData!$P$1:$P$272,"No")</f>
        <v>0</v>
      </c>
      <c r="Q31" s="13">
        <f ca="1">COUNTIFS(RawData!$E$1:$E$272,"2.8.11",RawData!$F$1:$F$272,"Y",RawData!$P$1:$P$272,"Partial")</f>
        <v>0</v>
      </c>
      <c r="R31" s="13">
        <f ca="1">COUNTIFS(RawData!$E$1:$E$272,"2.8.11",RawData!$F$1:$F$272,"Y",RawData!$P$1:$P$272,"Yes")</f>
        <v>0</v>
      </c>
      <c r="S31" s="627">
        <f t="shared" ca="1" si="3"/>
        <v>0</v>
      </c>
      <c r="T31" s="551"/>
      <c r="AD31" s="552">
        <v>5</v>
      </c>
      <c r="AE31" s="552">
        <v>4</v>
      </c>
      <c r="AF31" s="552">
        <v>3</v>
      </c>
      <c r="AG31" s="552">
        <v>2</v>
      </c>
      <c r="AH31" s="552">
        <v>1</v>
      </c>
    </row>
    <row r="32" spans="1:34" x14ac:dyDescent="0.25">
      <c r="A32" s="635" t="s">
        <v>1717</v>
      </c>
      <c r="B32" s="601" t="s">
        <v>1718</v>
      </c>
      <c r="C32" s="607" t="s">
        <v>1719</v>
      </c>
      <c r="D32" s="6">
        <f>COUNTIFS(RawData!$E$1:$E$272,"2.9",RawData!$F$1:$F$272,"N")</f>
        <v>13</v>
      </c>
      <c r="E32" s="7">
        <f ca="1">COUNTIFS(RawData!$E$1:$E$272,"2.9",RawData!$F$1:$F$272,"N",RawData!$P$1:$P$272,"N/A")</f>
        <v>0</v>
      </c>
      <c r="F32" s="7">
        <f ca="1">SUM(COUNTIFS(RawData!$E$1:$E$272,"2.9",RawData!$F$1:$F$272,"N",RawData!$P$1:$P$272,"No"),COUNTIFS(RawData!$E$1:$E$272,"2.9",RawData!$F$1:$F$272,"N",RawData!$P$1:$P$272,"M1"))</f>
        <v>0</v>
      </c>
      <c r="G32" s="7">
        <f ca="1">SUM(COUNTIFS(RawData!$E$1:$E$272,"2.9",RawData!$F$1:$F$272,"N",RawData!$P$1:$P$272,"Partial"),COUNTIFS(RawData!$E$1:$E$272,"2.9",RawData!$F$1:$F$272,"N",RawData!$P$1:$P$272,"M2"))</f>
        <v>0</v>
      </c>
      <c r="H32" s="7">
        <f ca="1">SUM(COUNTIFS(RawData!$E$1:$E$272,"2.9",RawData!$F$1:$F$272,"N",RawData!$P$1:$P$272,"Yes"),COUNTIFS(RawData!$E$1:$E$272,"2.9",RawData!$F$1:$F$272,"N",RawData!$P$1:$P$272,"M3"))</f>
        <v>0</v>
      </c>
      <c r="I32" s="7">
        <f ca="1">COUNTIFS(RawData!$E$1:$E$272,"2.9",RawData!$F$1:$F$272,"N",RawData!$P$1:$P$272,"M4")</f>
        <v>0</v>
      </c>
      <c r="J32" s="7">
        <f ca="1">COUNTIFS(RawData!$E$1:$E$272,"2.9",RawData!$F$1:$F$272,"N",RawData!$P$1:$P$272,"M5")</f>
        <v>0</v>
      </c>
      <c r="K32" s="596">
        <f t="shared" ca="1" si="1"/>
        <v>0</v>
      </c>
      <c r="L32" s="596">
        <f ca="1">IFERROR(((I32*1)+(J32*2))/(COUNTIFS(RawData!$B$1:$B$271,"D2.9",RawData!$F$1:$F$271,"N",RawData!$O$1:$O$271,"Maturity")-COUNTIFS(RawData!$B$1:$B$271,"D2.9",RawData!$F$1:$F$271,"N",RawData!$O$1:$O$271,"Maturity",RawData!$P$1:$P$271,"N/A")),0)</f>
        <v>0</v>
      </c>
      <c r="M32" s="613">
        <f ca="1">IFERROR(K32+L32,"N/A")</f>
        <v>0</v>
      </c>
      <c r="N32" s="623">
        <f>COUNTIFS(RawData!$E$1:$E$272,"2.9",RawData!$F$1:$F$272,"Y")</f>
        <v>3</v>
      </c>
      <c r="O32" s="9">
        <f ca="1">COUNTIFS(RawData!$E$1:$E$272,"2.9",RawData!$F$1:$F$272,"Y",RawData!$P$1:$P$272,"N/A")</f>
        <v>0</v>
      </c>
      <c r="P32" s="9">
        <f ca="1">COUNTIFS(RawData!$E$1:$E$272,"2.9",RawData!$F$1:$F$272,"Y",RawData!$P$1:$P$272,"No")</f>
        <v>0</v>
      </c>
      <c r="Q32" s="9">
        <f ca="1">COUNTIFS(RawData!$E$1:$E$272,"2.9",RawData!$F$1:$F$272,"Y",RawData!$P$1:$P$272,"Partial")</f>
        <v>0</v>
      </c>
      <c r="R32" s="9">
        <f ca="1">COUNTIFS(RawData!$E$1:$E$272,"2.9",RawData!$F$1:$F$272,"Y",RawData!$P$1:$P$272,"Yes")</f>
        <v>0</v>
      </c>
      <c r="S32" s="622">
        <f t="shared" ca="1" si="3"/>
        <v>0</v>
      </c>
      <c r="AC32" s="550">
        <v>1</v>
      </c>
      <c r="AD32" s="550">
        <v>5</v>
      </c>
      <c r="AE32" s="550">
        <v>4</v>
      </c>
      <c r="AF32" s="550">
        <v>3</v>
      </c>
      <c r="AG32" s="550">
        <v>2</v>
      </c>
      <c r="AH32" s="550">
        <v>1</v>
      </c>
    </row>
    <row r="33" spans="1:39" x14ac:dyDescent="0.25">
      <c r="A33" s="635" t="s">
        <v>1720</v>
      </c>
      <c r="B33" s="601" t="s">
        <v>1721</v>
      </c>
      <c r="C33" s="607" t="s">
        <v>1722</v>
      </c>
      <c r="D33" s="6">
        <f>COUNTIFS(RawData!$B$1:$B$272,"D2.10",RawData!$F$1:$F$272,"N")</f>
        <v>30</v>
      </c>
      <c r="E33" s="7">
        <f ca="1">COUNTIFS(RawData!$B$1:$B$272,"D2.10",RawData!$F$1:$F$272,"N",RawData!$P$1:$P$272,"N/A")</f>
        <v>0</v>
      </c>
      <c r="F33" s="7">
        <f ca="1">SUM(COUNTIFS(RawData!$B$1:$B$272,"D2.10",RawData!$F$1:$F$272,"N",RawData!$P$1:$P$272,"No"),COUNTIFS(RawData!$B$1:$B$272,"D2.10",RawData!$F$1:$F$272,"N",RawData!$P$1:$P$272,"M1"))</f>
        <v>0</v>
      </c>
      <c r="G33" s="7">
        <f ca="1">SUM(COUNTIFS(RawData!$B$1:$B$272,"D2.10",RawData!$F$1:$F$272,"N",RawData!$P$1:$P$272,"Partial"),COUNTIFS(RawData!$B$1:$B$272,"D2.10",RawData!$F$1:$F$272,"N",RawData!$P$1:$P$272,"M2"))</f>
        <v>0</v>
      </c>
      <c r="H33" s="7">
        <f ca="1">SUM(COUNTIFS(RawData!$B$1:$B$272,"D2.10",RawData!$F$1:$F$272,"N",RawData!$P$1:$P$272,"Yes"),COUNTIFS(RawData!$B$1:$B$272,"D2.10",RawData!$F$1:$F$272,"N",RawData!$P$1:$P$272,"M3"))</f>
        <v>0</v>
      </c>
      <c r="I33" s="7">
        <f ca="1">COUNTIFS(RawData!$B$1:$B$272,"D2.10",RawData!$F$1:$F$272,"N",RawData!$P$1:$P$272,"M4")</f>
        <v>0</v>
      </c>
      <c r="J33" s="7">
        <f ca="1">COUNTIFS(RawData!$B$1:$B$272,"D2.10",RawData!$F$1:$F$272,"N",RawData!$P$1:$P$272,"M5")</f>
        <v>0</v>
      </c>
      <c r="K33" s="596">
        <f t="shared" ca="1" si="1"/>
        <v>0</v>
      </c>
      <c r="L33" s="596">
        <f ca="1">IFERROR(((I33*1)+(J33*2))/(COUNTIFS(RawData!$B$1:$B$271,"D2.10",RawData!$F$1:$F$271,"N",RawData!$O$1:$O$271,"Maturity")-COUNTIFS(RawData!$B$1:$B$271,"D2.10",RawData!$F$1:$F$271,"N",RawData!$O$1:$O$271,"Maturity",RawData!$P$1:$P$271,"N/A")),0)</f>
        <v>0</v>
      </c>
      <c r="M33" s="613">
        <f ca="1">IFERROR(K33+L33,"N/A")</f>
        <v>0</v>
      </c>
      <c r="N33" s="623">
        <f>COUNTIFS(RawData!$B$1:$B$272,"D2.10",RawData!$F$1:$F$272,"Y")</f>
        <v>2</v>
      </c>
      <c r="O33" s="9">
        <f ca="1">COUNTIFS(RawData!$B$1:$B$272,"D2.10",RawData!$F$1:$F$272,"Y",RawData!$P$1:$P$272,"N/A")</f>
        <v>0</v>
      </c>
      <c r="P33" s="9">
        <f ca="1">COUNTIFS(RawData!$B$1:$B$272,"D2.10",RawData!$F$1:$F$272,"Y",RawData!$P$1:$P$272,"No")</f>
        <v>0</v>
      </c>
      <c r="Q33" s="9">
        <f ca="1">COUNTIFS(RawData!$B$1:$B$272,"D2.10",RawData!$F$1:$F$272,"Y",RawData!$P$1:$P$272,"Partial")</f>
        <v>0</v>
      </c>
      <c r="R33" s="9">
        <f ca="1">COUNTIFS(RawData!$B$1:$B$272,"D2.10",RawData!$F$1:$F$272,"Y",RawData!$P$1:$P$272,"Yes")</f>
        <v>0</v>
      </c>
      <c r="S33" s="622">
        <f t="shared" ca="1" si="3"/>
        <v>0</v>
      </c>
      <c r="AC33" s="550">
        <v>1</v>
      </c>
      <c r="AD33" s="550">
        <v>5</v>
      </c>
      <c r="AE33" s="550">
        <v>4</v>
      </c>
      <c r="AF33" s="550">
        <v>3</v>
      </c>
      <c r="AG33" s="550">
        <v>2</v>
      </c>
      <c r="AH33" s="550">
        <v>1</v>
      </c>
      <c r="AM33" s="553"/>
    </row>
    <row r="34" spans="1:39" x14ac:dyDescent="0.25">
      <c r="A34" s="635" t="s">
        <v>1723</v>
      </c>
      <c r="B34" s="601" t="s">
        <v>1724</v>
      </c>
      <c r="C34" s="607" t="s">
        <v>1725</v>
      </c>
      <c r="D34" s="6">
        <f>COUNTIFS(RawData!$E$1:$E$272,"2.11",RawData!$F$1:$F$272,"N")</f>
        <v>14</v>
      </c>
      <c r="E34" s="7">
        <f ca="1">COUNTIFS(RawData!$E$1:$E$272,"2.11",RawData!$F$1:$F$272,"N",RawData!$P$1:$P$272,"N/A")</f>
        <v>0</v>
      </c>
      <c r="F34" s="7">
        <f ca="1">SUM(COUNTIFS(RawData!$E$1:$E$272,"2.11",RawData!$F$1:$F$272,"N",RawData!$P$1:$P$272,"No"),COUNTIFS(RawData!$E$1:$E$272,"2.11",RawData!$F$1:$F$272,"N",RawData!$P$1:$P$272,"M1"))</f>
        <v>0</v>
      </c>
      <c r="G34" s="7">
        <f ca="1">SUM(COUNTIFS(RawData!$E$1:$E$272,"2.11",RawData!$F$1:$F$272,"N",RawData!$P$1:$P$272,"Partial"),COUNTIFS(RawData!$E$1:$E$272,"2.11",RawData!$F$1:$F$272,"N",RawData!$P$1:$P$272,"M2"))</f>
        <v>0</v>
      </c>
      <c r="H34" s="7">
        <f ca="1">SUM(COUNTIFS(RawData!$E$1:$E$272,"2.11",RawData!$F$1:$F$272,"N",RawData!$P$1:$P$272,"Yes"),COUNTIFS(RawData!$E$1:$E$272,"2.11",RawData!$F$1:$F$272,"N",RawData!$P$1:$P$272,"M3"))</f>
        <v>0</v>
      </c>
      <c r="I34" s="7">
        <f ca="1">COUNTIFS(RawData!$E$1:$E$272,"2.11",RawData!$F$1:$F$272,"N",RawData!$P$1:$P$272,"M4")</f>
        <v>0</v>
      </c>
      <c r="J34" s="7">
        <f ca="1">COUNTIFS(RawData!$E$1:$E$272,"2.11",RawData!$F$1:$F$272,"N",RawData!$P$1:$P$272,"M5")</f>
        <v>0</v>
      </c>
      <c r="K34" s="596">
        <f t="shared" ca="1" si="1"/>
        <v>0</v>
      </c>
      <c r="L34" s="596">
        <f ca="1">IFERROR(((I34*1)+(J34*2))/(COUNTIFS(RawData!$B$1:$B$271,"D2.11",RawData!$F$1:$F$271,"N",RawData!$O$1:$O$271,"Maturity")-COUNTIFS(RawData!$B$1:$B$271,"D2.11",RawData!$F$1:$F$271,"N",RawData!$O$1:$O$271,"Maturity",RawData!$P$1:$P$271,"N/A")),0)</f>
        <v>0</v>
      </c>
      <c r="M34" s="613">
        <f ca="1">IFERROR(K34+L34,"N/A")</f>
        <v>0</v>
      </c>
      <c r="N34" s="623">
        <f>COUNTIFS(RawData!$E$1:$E$272,"2.11",RawData!$F$1:$F$272,"Y")</f>
        <v>2</v>
      </c>
      <c r="O34" s="9">
        <f ca="1">COUNTIFS(RawData!$E$1:$E$272,"2.11",RawData!$F$1:$F$272,"Y",RawData!$P$1:$P$272,"N/A")</f>
        <v>0</v>
      </c>
      <c r="P34" s="9">
        <f ca="1">COUNTIFS(RawData!$E$1:$E$272,"2.11",RawData!$F$1:$F$272,"Y",RawData!$P$1:$P$272,"No")</f>
        <v>0</v>
      </c>
      <c r="Q34" s="9">
        <f ca="1">COUNTIFS(RawData!$E$1:$E$272,"2.11",RawData!$F$1:$F$272,"Y",RawData!$P$1:$P$272,"Partial")</f>
        <v>0</v>
      </c>
      <c r="R34" s="9">
        <f ca="1">COUNTIFS(RawData!$E$1:$E$272,"2.11",RawData!$F$1:$F$272,"Y",RawData!$P$1:$P$272,"Yes")</f>
        <v>0</v>
      </c>
      <c r="S34" s="622">
        <f t="shared" ca="1" si="3"/>
        <v>0</v>
      </c>
      <c r="AC34" s="550">
        <v>1</v>
      </c>
      <c r="AD34" s="550">
        <v>5</v>
      </c>
      <c r="AE34" s="550">
        <v>4</v>
      </c>
      <c r="AF34" s="550">
        <v>3</v>
      </c>
      <c r="AG34" s="550">
        <v>2</v>
      </c>
      <c r="AH34" s="550">
        <v>1</v>
      </c>
    </row>
    <row r="35" spans="1:39" x14ac:dyDescent="0.25">
      <c r="A35" s="635" t="s">
        <v>1726</v>
      </c>
      <c r="B35" s="601" t="s">
        <v>1727</v>
      </c>
      <c r="C35" s="607" t="s">
        <v>1728</v>
      </c>
      <c r="D35" s="6">
        <f>COUNTIFS(RawData!$E$1:$E$272,"2.12",RawData!$F$1:$F$272,"N")</f>
        <v>15</v>
      </c>
      <c r="E35" s="7">
        <f ca="1">COUNTIFS(RawData!$E$1:$E$272,"2.12",RawData!$F$1:$F$272,"N",RawData!$P$1:$P$272,"N/A")</f>
        <v>0</v>
      </c>
      <c r="F35" s="7">
        <f ca="1">SUM(COUNTIFS(RawData!$E$1:$E$272,"2.12",RawData!$F$1:$F$272,"N",RawData!$P$1:$P$272,"No"),COUNTIFS(RawData!$E$1:$E$272,"2.12",RawData!$F$1:$F$272,"N",RawData!$P$1:$P$272,"M1"))</f>
        <v>0</v>
      </c>
      <c r="G35" s="7">
        <f ca="1">SUM(COUNTIFS(RawData!$E$1:$E$272,"2.12",RawData!$F$1:$F$272,"N",RawData!$P$1:$P$272,"Partial"),COUNTIFS(RawData!$E$1:$E$272,"2.12",RawData!$F$1:$F$272,"N",RawData!$P$1:$P$272,"M2"))</f>
        <v>0</v>
      </c>
      <c r="H35" s="7">
        <f ca="1">SUM(COUNTIFS(RawData!$E$1:$E$272,"2.12",RawData!$F$1:$F$272,"N",RawData!$P$1:$P$272,"Yes"),COUNTIFS(RawData!$E$1:$E$272,"2.12",RawData!$F$1:$F$272,"N",RawData!$P$1:$P$272,"M3"))</f>
        <v>0</v>
      </c>
      <c r="I35" s="7">
        <f ca="1">COUNTIFS(RawData!$E$1:$E$272,"2.12",RawData!$F$1:$F$272,"N",RawData!$P$1:$P$272,"M4")</f>
        <v>0</v>
      </c>
      <c r="J35" s="7">
        <f ca="1">COUNTIFS(RawData!$E$1:$E$272,"2.12",RawData!$F$1:$F$272,"N",RawData!$P$1:$P$272,"M5")</f>
        <v>0</v>
      </c>
      <c r="K35" s="596">
        <f t="shared" ca="1" si="1"/>
        <v>0</v>
      </c>
      <c r="L35" s="596">
        <f ca="1">IFERROR(((I35*1)+(J35*2))/(COUNTIFS(RawData!$B$1:$B$271,"D2.12",RawData!$F$1:$F$271,"N",RawData!$O$1:$O$271,"Maturity")-COUNTIFS(RawData!$B$1:$B$271,"D2.12",RawData!$F$1:$F$271,"N",RawData!$O$1:$O$271,"Maturity",RawData!$P$1:$P$271,"N/A")),0)</f>
        <v>0</v>
      </c>
      <c r="M35" s="613">
        <f ca="1">IFERROR(K35+L35,"N/A")</f>
        <v>0</v>
      </c>
      <c r="N35" s="623">
        <f>COUNTIFS(RawData!$E$1:$E$272,"2.12",RawData!$F$1:$F$272,"Y")</f>
        <v>3</v>
      </c>
      <c r="O35" s="9">
        <f ca="1">COUNTIFS(RawData!$E$1:$E$272,"2.12",RawData!$F$1:$F$272,"Y",RawData!$P$1:$P$272,"N/A")</f>
        <v>0</v>
      </c>
      <c r="P35" s="9">
        <f ca="1">COUNTIFS(RawData!$E$1:$E$272,"2.12",RawData!$F$1:$F$272,"Y",RawData!$P$1:$P$272,"No")</f>
        <v>0</v>
      </c>
      <c r="Q35" s="9">
        <f ca="1">COUNTIFS(RawData!$E$1:$E$272,"2.12",RawData!$F$1:$F$272,"Y",RawData!$P$1:$P$272,"Partial")</f>
        <v>0</v>
      </c>
      <c r="R35" s="9">
        <f ca="1">COUNTIFS(RawData!$E$1:$E$272,"2.12",RawData!$F$1:$F$272,"Y",RawData!$P$1:$P$272,"Yes")</f>
        <v>0</v>
      </c>
      <c r="S35" s="622">
        <f t="shared" ca="1" si="3"/>
        <v>0</v>
      </c>
      <c r="AC35" s="550">
        <v>1</v>
      </c>
      <c r="AD35" s="550">
        <v>5</v>
      </c>
      <c r="AE35" s="550">
        <v>4</v>
      </c>
      <c r="AF35" s="550">
        <v>3</v>
      </c>
      <c r="AG35" s="550">
        <v>2</v>
      </c>
      <c r="AH35" s="550">
        <v>1</v>
      </c>
    </row>
    <row r="36" spans="1:39" ht="13.15" thickBot="1" x14ac:dyDescent="0.3">
      <c r="A36" s="600" t="s">
        <v>267</v>
      </c>
      <c r="B36" s="603" t="s">
        <v>1729</v>
      </c>
      <c r="C36" s="609" t="s">
        <v>1730</v>
      </c>
      <c r="D36" s="615">
        <f>COUNTIFS(RawData!$E$1:$E$272,"3",RawData!$F$1:$F$272,"N")</f>
        <v>9</v>
      </c>
      <c r="E36" s="616">
        <f ca="1">COUNTIFS(RawData!$E$1:$E$272,"3",RawData!$F$1:$F$272,"N",RawData!$P$1:$P$272,"N/A")</f>
        <v>7</v>
      </c>
      <c r="F36" s="616">
        <f ca="1">SUM(COUNTIFS(RawData!$E$1:$E$272,"3",RawData!$F$1:$F$272,"N",RawData!$P$1:$P$272,"No"),COUNTIFS(RawData!$E$1:$E$272,"3",RawData!$F$1:$F$272,"N",RawData!$P$1:$P$272,"M1"))</f>
        <v>0</v>
      </c>
      <c r="G36" s="616">
        <f ca="1">SUM(COUNTIFS(RawData!$E$1:$E$272,"3",RawData!$F$1:$F$272,"N",RawData!$P$1:$P$272,"Partial"),COUNTIFS(RawData!$E$1:$E$272,"3",RawData!$F$1:$F$272,"N",RawData!$P$1:$P$272,"M2"))</f>
        <v>0</v>
      </c>
      <c r="H36" s="616">
        <f ca="1">SUM(COUNTIFS(RawData!$E$1:$E$272,"3",RawData!$F$1:$F$272,"N",RawData!$P$1:$P$272,"Yes"),COUNTIFS(RawData!$E$1:$E$272,"3",RawData!$F$1:$F$272,"N",RawData!$P$1:$P$272,"M3"))</f>
        <v>0</v>
      </c>
      <c r="I36" s="616">
        <f ca="1">COUNTIFS(RawData!$E$1:$E$272,"3",RawData!$F$1:$F$272,"N",RawData!$P$1:$P$272,"M4")</f>
        <v>0</v>
      </c>
      <c r="J36" s="616">
        <f ca="1">COUNTIFS(RawData!$E$1:$E$272,"3",RawData!$F$1:$F$272,"N",RawData!$P$1:$P$272,"M5")</f>
        <v>0</v>
      </c>
      <c r="K36" s="634">
        <f t="shared" ca="1" si="1"/>
        <v>0</v>
      </c>
      <c r="L36" s="617"/>
      <c r="M36" s="677">
        <f ca="1">K36</f>
        <v>0</v>
      </c>
      <c r="N36" s="630"/>
      <c r="O36" s="631"/>
      <c r="P36" s="632"/>
      <c r="Q36" s="632"/>
      <c r="R36" s="632"/>
      <c r="S36" s="633" t="str">
        <f>IFERROR(R36/N36,"")</f>
        <v/>
      </c>
      <c r="T36" s="549">
        <f ca="1">IFERROR((K36*5/3),"N/A")</f>
        <v>0</v>
      </c>
      <c r="AC36" s="550">
        <v>1</v>
      </c>
      <c r="AD36" s="550">
        <v>5</v>
      </c>
      <c r="AE36" s="550">
        <v>4</v>
      </c>
      <c r="AF36" s="550">
        <v>3</v>
      </c>
      <c r="AG36" s="550">
        <v>2</v>
      </c>
      <c r="AH36" s="550">
        <v>1</v>
      </c>
      <c r="AI36" s="554">
        <f ca="1">1-S37</f>
        <v>1</v>
      </c>
      <c r="AJ36" s="554"/>
    </row>
    <row r="37" spans="1:39" ht="13.15" thickBot="1" x14ac:dyDescent="0.3">
      <c r="A37" s="637"/>
      <c r="B37" s="586" t="s">
        <v>1731</v>
      </c>
      <c r="C37" s="587"/>
      <c r="D37" s="588"/>
      <c r="E37" s="588"/>
      <c r="F37" s="589">
        <f ca="1">SUM(F$6,F$10,F$36)</f>
        <v>0</v>
      </c>
      <c r="G37" s="589">
        <f t="shared" ref="G37:J37" ca="1" si="9">SUM(G$6,G$10,G$36)</f>
        <v>0</v>
      </c>
      <c r="H37" s="589">
        <f t="shared" ca="1" si="9"/>
        <v>0</v>
      </c>
      <c r="I37" s="589">
        <f t="shared" ca="1" si="9"/>
        <v>0</v>
      </c>
      <c r="J37" s="589">
        <f t="shared" ca="1" si="9"/>
        <v>0</v>
      </c>
      <c r="K37" s="590">
        <f ca="1">IFERROR(((SUM(F6,F10,F36)*1)+(SUM(G6,G10,G36)*2)+(SUM(H6,H10,H36)*3)+(SUM(I6,I10,I36)*3)+(SUM(J6,J10,J36)*3))/(D6+D10+D36-E6-E10-E36),"N/A")</f>
        <v>0</v>
      </c>
      <c r="L37" s="591"/>
      <c r="M37" s="590">
        <f ca="1">IFERROR(K37+( (SUM(I6,I10,I36)*1)+(SUM(J6,J10,J36)*2) ) / COUNTIFS(RawData!O:O,"maturity",RawData!P:P,"&lt;&gt;N/A"),"N/A")</f>
        <v>0</v>
      </c>
      <c r="N37" s="588"/>
      <c r="O37" s="588"/>
      <c r="P37" s="592"/>
      <c r="Q37" s="592"/>
      <c r="R37" s="592"/>
      <c r="S37" s="593">
        <f ca="1">IFERROR(SUM(R6,R10,R36)/(SUM(N6,N10,N36)-SUM(O6,O10,O36)),0)</f>
        <v>0</v>
      </c>
      <c r="AI37" s="554">
        <f ca="1">IF(S37&lt;50%,1,0)</f>
        <v>1</v>
      </c>
      <c r="AJ37" s="554">
        <f ca="1">IF(S37&lt;50%,S37,"")</f>
        <v>0</v>
      </c>
      <c r="AK37" s="550">
        <f t="shared" ref="AK37:AK56" ca="1" si="10">$AI$37</f>
        <v>1</v>
      </c>
    </row>
    <row r="38" spans="1:39" x14ac:dyDescent="0.25">
      <c r="A38" s="555"/>
      <c r="B38" s="556"/>
      <c r="AI38" s="554">
        <f ca="1">IF(AND(S37&gt;=50%,S37&lt;80%),1,0)</f>
        <v>0</v>
      </c>
      <c r="AJ38" s="554" t="str">
        <f ca="1">IF(AND(S37&gt;=50%,S37&lt;80%),S37,"")</f>
        <v/>
      </c>
      <c r="AK38" s="550">
        <f t="shared" ca="1" si="10"/>
        <v>1</v>
      </c>
    </row>
    <row r="39" spans="1:39" x14ac:dyDescent="0.25">
      <c r="AI39" s="554">
        <f ca="1">IF(S37&gt;=80%,1,0)</f>
        <v>0</v>
      </c>
      <c r="AJ39" s="554" t="str">
        <f ca="1">IF(S37&gt;=80%,S37,"")</f>
        <v/>
      </c>
      <c r="AK39" s="550">
        <f t="shared" ca="1" si="10"/>
        <v>1</v>
      </c>
    </row>
    <row r="40" spans="1:39" x14ac:dyDescent="0.25">
      <c r="AI40" s="554"/>
      <c r="AJ40" s="554"/>
      <c r="AK40" s="550">
        <f t="shared" ca="1" si="10"/>
        <v>1</v>
      </c>
    </row>
    <row r="41" spans="1:39" x14ac:dyDescent="0.25">
      <c r="AK41" s="550">
        <f t="shared" ca="1" si="10"/>
        <v>1</v>
      </c>
    </row>
    <row r="42" spans="1:39" x14ac:dyDescent="0.25">
      <c r="AK42" s="550">
        <f t="shared" ca="1" si="10"/>
        <v>1</v>
      </c>
    </row>
    <row r="43" spans="1:39" x14ac:dyDescent="0.25">
      <c r="AK43" s="550">
        <f t="shared" ca="1" si="10"/>
        <v>1</v>
      </c>
    </row>
    <row r="44" spans="1:39" x14ac:dyDescent="0.25">
      <c r="AK44" s="550">
        <f t="shared" ca="1" si="10"/>
        <v>1</v>
      </c>
    </row>
    <row r="45" spans="1:39" x14ac:dyDescent="0.25">
      <c r="AK45" s="550">
        <f t="shared" ca="1" si="10"/>
        <v>1</v>
      </c>
    </row>
    <row r="46" spans="1:39" x14ac:dyDescent="0.25">
      <c r="AK46" s="550">
        <f t="shared" ca="1" si="10"/>
        <v>1</v>
      </c>
    </row>
    <row r="47" spans="1:39" x14ac:dyDescent="0.25">
      <c r="AK47" s="550">
        <f t="shared" ca="1" si="10"/>
        <v>1</v>
      </c>
    </row>
    <row r="48" spans="1:39" x14ac:dyDescent="0.25">
      <c r="AK48" s="550">
        <f t="shared" ca="1" si="10"/>
        <v>1</v>
      </c>
    </row>
    <row r="49" spans="28:37" x14ac:dyDescent="0.25">
      <c r="AK49" s="550">
        <f t="shared" ca="1" si="10"/>
        <v>1</v>
      </c>
    </row>
    <row r="50" spans="28:37" x14ac:dyDescent="0.25">
      <c r="AK50" s="550">
        <f t="shared" ca="1" si="10"/>
        <v>1</v>
      </c>
    </row>
    <row r="51" spans="28:37" x14ac:dyDescent="0.25">
      <c r="AK51" s="550">
        <f t="shared" ca="1" si="10"/>
        <v>1</v>
      </c>
    </row>
    <row r="52" spans="28:37" x14ac:dyDescent="0.25">
      <c r="AK52" s="550">
        <f t="shared" ca="1" si="10"/>
        <v>1</v>
      </c>
    </row>
    <row r="53" spans="28:37" ht="13.8" x14ac:dyDescent="0.25">
      <c r="AB53" s="559"/>
      <c r="AC53" s="559"/>
      <c r="AD53" s="559"/>
      <c r="AE53" s="559"/>
      <c r="AF53" s="559"/>
      <c r="AG53" s="559"/>
      <c r="AH53" s="559"/>
      <c r="AI53" s="559"/>
      <c r="AJ53" s="559"/>
      <c r="AK53" s="559">
        <f t="shared" ca="1" si="10"/>
        <v>1</v>
      </c>
    </row>
    <row r="54" spans="28:37" x14ac:dyDescent="0.25">
      <c r="AK54" s="550">
        <f t="shared" ca="1" si="10"/>
        <v>1</v>
      </c>
    </row>
    <row r="55" spans="28:37" x14ac:dyDescent="0.25">
      <c r="AK55" s="550">
        <f t="shared" ca="1" si="10"/>
        <v>1</v>
      </c>
    </row>
    <row r="56" spans="28:37" x14ac:dyDescent="0.25">
      <c r="AK56" s="550">
        <f t="shared" ca="1" si="10"/>
        <v>1</v>
      </c>
    </row>
    <row r="57" spans="28:37" x14ac:dyDescent="0.25">
      <c r="AJ57" s="550" t="s">
        <v>1732</v>
      </c>
      <c r="AK57" s="550">
        <f t="shared" ref="AK57:AK76" ca="1" si="11">$AI$38</f>
        <v>0</v>
      </c>
    </row>
    <row r="58" spans="28:37" x14ac:dyDescent="0.25">
      <c r="AK58" s="550">
        <f t="shared" ca="1" si="11"/>
        <v>0</v>
      </c>
    </row>
    <row r="59" spans="28:37" x14ac:dyDescent="0.25">
      <c r="AK59" s="550">
        <f t="shared" ca="1" si="11"/>
        <v>0</v>
      </c>
    </row>
    <row r="60" spans="28:37" x14ac:dyDescent="0.25">
      <c r="AK60" s="550">
        <f t="shared" ca="1" si="11"/>
        <v>0</v>
      </c>
    </row>
    <row r="61" spans="28:37" x14ac:dyDescent="0.25">
      <c r="AK61" s="550">
        <f t="shared" ca="1" si="11"/>
        <v>0</v>
      </c>
    </row>
    <row r="62" spans="28:37" x14ac:dyDescent="0.25">
      <c r="AK62" s="550">
        <f t="shared" ca="1" si="11"/>
        <v>0</v>
      </c>
    </row>
    <row r="63" spans="28:37" x14ac:dyDescent="0.25">
      <c r="AK63" s="550">
        <f t="shared" ca="1" si="11"/>
        <v>0</v>
      </c>
    </row>
    <row r="64" spans="28:37" x14ac:dyDescent="0.25">
      <c r="AK64" s="550">
        <f t="shared" ca="1" si="11"/>
        <v>0</v>
      </c>
    </row>
    <row r="65" spans="36:37" x14ac:dyDescent="0.25">
      <c r="AK65" s="550">
        <f t="shared" ca="1" si="11"/>
        <v>0</v>
      </c>
    </row>
    <row r="66" spans="36:37" x14ac:dyDescent="0.25">
      <c r="AK66" s="550">
        <f t="shared" ca="1" si="11"/>
        <v>0</v>
      </c>
    </row>
    <row r="67" spans="36:37" x14ac:dyDescent="0.25">
      <c r="AK67" s="550">
        <f t="shared" ca="1" si="11"/>
        <v>0</v>
      </c>
    </row>
    <row r="68" spans="36:37" x14ac:dyDescent="0.25">
      <c r="AK68" s="550">
        <f t="shared" ca="1" si="11"/>
        <v>0</v>
      </c>
    </row>
    <row r="69" spans="36:37" x14ac:dyDescent="0.25">
      <c r="AK69" s="550">
        <f t="shared" ca="1" si="11"/>
        <v>0</v>
      </c>
    </row>
    <row r="70" spans="36:37" x14ac:dyDescent="0.25">
      <c r="AK70" s="550">
        <f t="shared" ca="1" si="11"/>
        <v>0</v>
      </c>
    </row>
    <row r="71" spans="36:37" x14ac:dyDescent="0.25">
      <c r="AK71" s="550">
        <f t="shared" ca="1" si="11"/>
        <v>0</v>
      </c>
    </row>
    <row r="72" spans="36:37" x14ac:dyDescent="0.25">
      <c r="AK72" s="550">
        <f t="shared" ca="1" si="11"/>
        <v>0</v>
      </c>
    </row>
    <row r="73" spans="36:37" x14ac:dyDescent="0.25">
      <c r="AK73" s="550">
        <f t="shared" ca="1" si="11"/>
        <v>0</v>
      </c>
    </row>
    <row r="74" spans="36:37" x14ac:dyDescent="0.25">
      <c r="AK74" s="550">
        <f t="shared" ca="1" si="11"/>
        <v>0</v>
      </c>
    </row>
    <row r="75" spans="36:37" x14ac:dyDescent="0.25">
      <c r="AK75" s="550">
        <f t="shared" ca="1" si="11"/>
        <v>0</v>
      </c>
    </row>
    <row r="76" spans="36:37" x14ac:dyDescent="0.25">
      <c r="AK76" s="550">
        <f t="shared" ca="1" si="11"/>
        <v>0</v>
      </c>
    </row>
    <row r="77" spans="36:37" x14ac:dyDescent="0.25">
      <c r="AJ77" s="550" t="s">
        <v>1733</v>
      </c>
      <c r="AK77" s="550">
        <f t="shared" ref="AK77:AK96" ca="1" si="12">$AI$39</f>
        <v>0</v>
      </c>
    </row>
    <row r="78" spans="36:37" x14ac:dyDescent="0.25">
      <c r="AK78" s="550">
        <f t="shared" ca="1" si="12"/>
        <v>0</v>
      </c>
    </row>
    <row r="79" spans="36:37" x14ac:dyDescent="0.25">
      <c r="AK79" s="550">
        <f t="shared" ca="1" si="12"/>
        <v>0</v>
      </c>
    </row>
    <row r="80" spans="36:37" x14ac:dyDescent="0.25">
      <c r="AK80" s="550">
        <f t="shared" ca="1" si="12"/>
        <v>0</v>
      </c>
    </row>
    <row r="81" spans="37:37" x14ac:dyDescent="0.25">
      <c r="AK81" s="550">
        <f t="shared" ca="1" si="12"/>
        <v>0</v>
      </c>
    </row>
    <row r="82" spans="37:37" x14ac:dyDescent="0.25">
      <c r="AK82" s="550">
        <f t="shared" ca="1" si="12"/>
        <v>0</v>
      </c>
    </row>
    <row r="83" spans="37:37" x14ac:dyDescent="0.25">
      <c r="AK83" s="550">
        <f t="shared" ca="1" si="12"/>
        <v>0</v>
      </c>
    </row>
    <row r="84" spans="37:37" x14ac:dyDescent="0.25">
      <c r="AK84" s="550">
        <f t="shared" ca="1" si="12"/>
        <v>0</v>
      </c>
    </row>
    <row r="85" spans="37:37" x14ac:dyDescent="0.25">
      <c r="AK85" s="550">
        <f t="shared" ca="1" si="12"/>
        <v>0</v>
      </c>
    </row>
    <row r="86" spans="37:37" x14ac:dyDescent="0.25">
      <c r="AK86" s="550">
        <f t="shared" ca="1" si="12"/>
        <v>0</v>
      </c>
    </row>
    <row r="87" spans="37:37" x14ac:dyDescent="0.25">
      <c r="AK87" s="550">
        <f t="shared" ca="1" si="12"/>
        <v>0</v>
      </c>
    </row>
    <row r="88" spans="37:37" x14ac:dyDescent="0.25">
      <c r="AK88" s="550">
        <f t="shared" ca="1" si="12"/>
        <v>0</v>
      </c>
    </row>
    <row r="89" spans="37:37" x14ac:dyDescent="0.25">
      <c r="AK89" s="550">
        <f t="shared" ca="1" si="12"/>
        <v>0</v>
      </c>
    </row>
    <row r="90" spans="37:37" x14ac:dyDescent="0.25">
      <c r="AK90" s="550">
        <f t="shared" ca="1" si="12"/>
        <v>0</v>
      </c>
    </row>
    <row r="91" spans="37:37" x14ac:dyDescent="0.25">
      <c r="AK91" s="550">
        <f t="shared" ca="1" si="12"/>
        <v>0</v>
      </c>
    </row>
    <row r="92" spans="37:37" x14ac:dyDescent="0.25">
      <c r="AK92" s="550">
        <f t="shared" ca="1" si="12"/>
        <v>0</v>
      </c>
    </row>
    <row r="93" spans="37:37" x14ac:dyDescent="0.25">
      <c r="AK93" s="550">
        <f t="shared" ca="1" si="12"/>
        <v>0</v>
      </c>
    </row>
    <row r="94" spans="37:37" x14ac:dyDescent="0.25">
      <c r="AK94" s="550">
        <f t="shared" ca="1" si="12"/>
        <v>0</v>
      </c>
    </row>
    <row r="95" spans="37:37" x14ac:dyDescent="0.25">
      <c r="AK95" s="550">
        <f t="shared" ca="1" si="12"/>
        <v>0</v>
      </c>
    </row>
    <row r="96" spans="37:37" x14ac:dyDescent="0.25">
      <c r="AK96" s="550">
        <f t="shared" ca="1" si="12"/>
        <v>0</v>
      </c>
    </row>
  </sheetData>
  <sheetProtection formatColumns="0" formatRows="0" selectLockedCells="1" autoFilter="0"/>
  <mergeCells count="13">
    <mergeCell ref="N4:N5"/>
    <mergeCell ref="O4:R4"/>
    <mergeCell ref="S4:S5"/>
    <mergeCell ref="A3:A5"/>
    <mergeCell ref="B3:B5"/>
    <mergeCell ref="C3:C5"/>
    <mergeCell ref="D3:M3"/>
    <mergeCell ref="N3:S3"/>
    <mergeCell ref="D4:D5"/>
    <mergeCell ref="E4:J4"/>
    <mergeCell ref="K4:K5"/>
    <mergeCell ref="L4:L5"/>
    <mergeCell ref="M4:M5"/>
  </mergeCells>
  <pageMargins left="0.7" right="0.7" top="0.75" bottom="0.75" header="0.3" footer="0.3"/>
  <pageSetup paperSize="9" orientation="portrait"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9937B2-24EA-4B84-BF97-9393B068E249}">
  <sheetPr>
    <tabColor theme="9" tint="0.79998168889431442"/>
  </sheetPr>
  <dimension ref="A1:U29"/>
  <sheetViews>
    <sheetView topLeftCell="A41" zoomScale="85" zoomScaleNormal="85" workbookViewId="0">
      <selection activeCell="K65" sqref="K65"/>
    </sheetView>
  </sheetViews>
  <sheetFormatPr defaultColWidth="9.19921875" defaultRowHeight="12.55" x14ac:dyDescent="0.25"/>
  <cols>
    <col min="1" max="1" width="9.19921875" style="557"/>
    <col min="2" max="2" width="48.09765625" style="558" customWidth="1"/>
    <col min="3" max="3" width="19.69921875" style="550" hidden="1" customWidth="1"/>
    <col min="4" max="4" width="10.69921875" style="550" bestFit="1" customWidth="1"/>
    <col min="5" max="5" width="7.69921875" style="549" customWidth="1"/>
    <col min="6" max="6" width="7.09765625" style="549" customWidth="1"/>
    <col min="7" max="7" width="8.8984375" style="549" customWidth="1"/>
    <col min="8" max="10" width="7.09765625" style="549" customWidth="1"/>
    <col min="11" max="12" width="14.8984375" style="549" customWidth="1"/>
    <col min="13" max="13" width="9.19921875" style="549" bestFit="1"/>
    <col min="14" max="14" width="15.8984375" style="550" customWidth="1"/>
    <col min="15" max="15" width="19.5" style="550" hidden="1" customWidth="1"/>
    <col min="16" max="21" width="15.8984375" style="550" hidden="1" customWidth="1"/>
    <col min="22" max="29" width="15.8984375" style="550" customWidth="1"/>
    <col min="30" max="16384" width="9.19921875" style="550"/>
  </cols>
  <sheetData>
    <row r="1" spans="1:21" s="544" customFormat="1" ht="15.05" x14ac:dyDescent="0.25">
      <c r="A1" s="539" t="s">
        <v>1734</v>
      </c>
      <c r="B1" s="540"/>
      <c r="C1" s="541"/>
      <c r="D1" s="542"/>
      <c r="E1" s="541"/>
      <c r="F1" s="150"/>
      <c r="G1" s="150"/>
      <c r="H1" s="150"/>
      <c r="I1" s="150"/>
      <c r="J1" s="541"/>
      <c r="K1" s="541"/>
      <c r="L1" s="541"/>
      <c r="M1" s="541"/>
    </row>
    <row r="2" spans="1:21" s="544" customFormat="1" ht="45.25" customHeight="1" x14ac:dyDescent="0.25">
      <c r="A2" s="672" t="e" vm="1">
        <v>#VALUE!</v>
      </c>
      <c r="B2" s="756" t="s">
        <v>1735</v>
      </c>
      <c r="C2" s="756"/>
      <c r="D2" s="756"/>
      <c r="E2" s="673"/>
      <c r="F2" s="673"/>
      <c r="G2" s="673"/>
      <c r="H2" s="673"/>
      <c r="I2" s="673"/>
      <c r="J2" s="673"/>
      <c r="K2" s="673"/>
      <c r="L2" s="673"/>
      <c r="M2" s="673"/>
    </row>
    <row r="3" spans="1:21" s="546" customFormat="1" ht="42.6" customHeight="1" thickBot="1" x14ac:dyDescent="0.3">
      <c r="A3" s="664"/>
      <c r="B3" s="665" t="s">
        <v>1650</v>
      </c>
      <c r="C3" s="664"/>
      <c r="E3" s="545"/>
      <c r="F3" s="545"/>
      <c r="G3" s="545"/>
      <c r="H3" s="545"/>
      <c r="I3" s="545"/>
      <c r="J3" s="545"/>
      <c r="K3" s="545"/>
      <c r="L3" s="545"/>
      <c r="M3" s="545"/>
    </row>
    <row r="4" spans="1:21" s="548" customFormat="1" x14ac:dyDescent="0.25">
      <c r="A4" s="739" t="s">
        <v>1651</v>
      </c>
      <c r="B4" s="739" t="s">
        <v>1652</v>
      </c>
      <c r="C4" s="741" t="s">
        <v>1653</v>
      </c>
      <c r="D4" s="758" t="s">
        <v>1736</v>
      </c>
      <c r="E4" s="759"/>
      <c r="F4" s="759"/>
      <c r="G4" s="759"/>
      <c r="H4" s="759"/>
      <c r="I4" s="759"/>
      <c r="J4" s="759"/>
      <c r="K4" s="759"/>
      <c r="L4" s="760"/>
      <c r="M4" s="761"/>
    </row>
    <row r="5" spans="1:21" s="548" customFormat="1" ht="25.2" customHeight="1" x14ac:dyDescent="0.25">
      <c r="A5" s="740"/>
      <c r="B5" s="740"/>
      <c r="C5" s="741"/>
      <c r="D5" s="762" t="s">
        <v>1656</v>
      </c>
      <c r="E5" s="763" t="s">
        <v>1657</v>
      </c>
      <c r="F5" s="764"/>
      <c r="G5" s="764"/>
      <c r="H5" s="764"/>
      <c r="I5" s="764"/>
      <c r="J5" s="765"/>
      <c r="K5" s="766" t="s">
        <v>1658</v>
      </c>
      <c r="L5" s="766" t="s">
        <v>1737</v>
      </c>
      <c r="M5" s="768" t="s">
        <v>1660</v>
      </c>
    </row>
    <row r="6" spans="1:21" s="548" customFormat="1" ht="25.7" thickBot="1" x14ac:dyDescent="0.3">
      <c r="A6" s="757"/>
      <c r="B6" s="740"/>
      <c r="C6" s="741"/>
      <c r="D6" s="762"/>
      <c r="E6" s="500" t="s">
        <v>214</v>
      </c>
      <c r="F6" s="500" t="s">
        <v>1663</v>
      </c>
      <c r="G6" s="500" t="s">
        <v>1664</v>
      </c>
      <c r="H6" s="500" t="s">
        <v>1665</v>
      </c>
      <c r="I6" s="500">
        <v>4</v>
      </c>
      <c r="J6" s="500">
        <v>5</v>
      </c>
      <c r="K6" s="767"/>
      <c r="L6" s="767"/>
      <c r="M6" s="769"/>
    </row>
    <row r="7" spans="1:21" x14ac:dyDescent="0.25">
      <c r="A7" s="640">
        <v>2</v>
      </c>
      <c r="B7" s="641" t="s">
        <v>1675</v>
      </c>
      <c r="C7" s="642" t="s">
        <v>1676</v>
      </c>
      <c r="D7" s="643">
        <f ca="1">COUNTIFS(RawData!$D1:$D$272,"D2",RawData!$J1:$J272,"x")</f>
        <v>53</v>
      </c>
      <c r="E7" s="644">
        <f ca="1">SUM(E8,E9,E10,E17)</f>
        <v>1</v>
      </c>
      <c r="F7" s="644">
        <f t="shared" ref="F7:J7" ca="1" si="0">SUM(F8,F9,F10,F17)</f>
        <v>0</v>
      </c>
      <c r="G7" s="644">
        <f t="shared" ca="1" si="0"/>
        <v>0</v>
      </c>
      <c r="H7" s="644">
        <f t="shared" ca="1" si="0"/>
        <v>0</v>
      </c>
      <c r="I7" s="644">
        <f t="shared" ca="1" si="0"/>
        <v>0</v>
      </c>
      <c r="J7" s="644">
        <f t="shared" ca="1" si="0"/>
        <v>0</v>
      </c>
      <c r="K7" s="645">
        <f t="shared" ref="K7:K18" ca="1" si="1">IFERROR( ((F7*1)+(G7*2)+(H7*3)+(I7*3)+(J7*3))/(D7-E7),"N/A")</f>
        <v>0</v>
      </c>
      <c r="L7" s="645">
        <f ca="1">IFERROR(((I7*1)+(J7*2))/(6-E7),0)</f>
        <v>0</v>
      </c>
      <c r="M7" s="645">
        <f ca="1">IFERROR(K7+L7,"N/A")</f>
        <v>0</v>
      </c>
      <c r="O7" s="550" t="s">
        <v>1681</v>
      </c>
      <c r="P7" s="552">
        <v>3</v>
      </c>
      <c r="Q7" s="552">
        <v>2</v>
      </c>
      <c r="R7" s="552">
        <v>1</v>
      </c>
      <c r="S7" s="666">
        <f ca="1">K8</f>
        <v>0</v>
      </c>
    </row>
    <row r="8" spans="1:21" s="552" customFormat="1" x14ac:dyDescent="0.25">
      <c r="A8" s="657" t="s">
        <v>332</v>
      </c>
      <c r="B8" s="658" t="s">
        <v>1681</v>
      </c>
      <c r="C8" s="659" t="s">
        <v>1682</v>
      </c>
      <c r="D8" s="660">
        <f ca="1">COUNTIFS(RawData!$E1:$E$272,"2.2.2",RawData!$J1:$J272,"x")</f>
        <v>14</v>
      </c>
      <c r="E8" s="661">
        <f ca="1">COUNTIFS(RawData!$E$1:$E$272,"2.2.2",RawData!$J1:$J272,"x",RawData!$P$1:$P$272,"N/A")</f>
        <v>0</v>
      </c>
      <c r="F8" s="661">
        <f ca="1">SUM(COUNTIFS(RawData!$E$1:$E$272,"2.2.2",RawData!$J1:$J272,"x",RawData!$P$1:$P$272,"No"),COUNTIFS(RawData!$E$1:$E$272,"2.2.2",RawData!$J1:$J272,"x",RawData!$P$1:$P$272,"M1"))</f>
        <v>0</v>
      </c>
      <c r="G8" s="661">
        <f ca="1">SUM(COUNTIFS(RawData!$E$1:$E$272,"2.2.2",RawData!$J1:$J272,"x",RawData!$P$1:$P$272,"Partial"),COUNTIFS(RawData!$E$1:$E$272,"2.2.2",RawData!$J1:$J272,"x",RawData!$P$1:$P$272,"M2"))</f>
        <v>0</v>
      </c>
      <c r="H8" s="661">
        <f ca="1">SUM(COUNTIFS(RawData!$E$1:$E$272,"2.2.2",RawData!$J1:$J272,"x",RawData!$P$1:$P$272,"Yes"),COUNTIFS(RawData!$E$1:$E$272,"2.2.2",RawData!$J1:$J272,"x",RawData!$P$1:$P$272,"M3"))</f>
        <v>0</v>
      </c>
      <c r="I8" s="661">
        <f ca="1">COUNTIFS(RawData!$E$1:$E$272,"2.2.2",RawData!$J1:$J272,"x",RawData!$P$1:$P$272,"M4")</f>
        <v>0</v>
      </c>
      <c r="J8" s="661">
        <f ca="1">COUNTIFS(RawData!$E$1:$E$272,"2.2.2",RawData!$J1:$J272,"x",RawData!$P$1:$P$272,"M5")</f>
        <v>0</v>
      </c>
      <c r="K8" s="662">
        <f t="shared" ca="1" si="1"/>
        <v>0</v>
      </c>
      <c r="L8" s="662">
        <f ca="1">IFERROR(((I7*1)+(J7*2))/(COUNTIFS(RawData!$E$1:$E$271,"2.2.2",RawData!$F$1:$F$271,"N",RawData!$O$1:$O$271,"Maturity")-COUNTIFS(RawData!$E$1:$E$271,"2.2.2",RawData!$F$1:$F$271,"N",RawData!$O$1:$O$271,"Maturity",RawData!$P$1:$P$271,"N/A")),0)</f>
        <v>0</v>
      </c>
      <c r="M8" s="662">
        <f ca="1">IFERROR(K8+L8,"N/A")</f>
        <v>0</v>
      </c>
      <c r="O8" s="550" t="s">
        <v>1687</v>
      </c>
      <c r="P8" s="552">
        <v>3</v>
      </c>
      <c r="Q8" s="552">
        <v>2</v>
      </c>
      <c r="R8" s="552">
        <v>1</v>
      </c>
      <c r="S8" s="666">
        <f ca="1">K9</f>
        <v>0</v>
      </c>
    </row>
    <row r="9" spans="1:21" x14ac:dyDescent="0.25">
      <c r="A9" s="657">
        <v>2.5</v>
      </c>
      <c r="B9" s="658" t="s">
        <v>1687</v>
      </c>
      <c r="C9" s="659" t="s">
        <v>1688</v>
      </c>
      <c r="D9" s="660">
        <f ca="1">COUNTIFS(RawData!$E$1:$E$272,"2.5",RawData!$J1:$J272,"x")</f>
        <v>5</v>
      </c>
      <c r="E9" s="661">
        <f ca="1">COUNTIFS(RawData!$E$1:$E$272,"2.5",RawData!$J1:$J272,"x",RawData!$P$1:$P$272,"N/A")</f>
        <v>0</v>
      </c>
      <c r="F9" s="661">
        <f ca="1">SUM(COUNTIFS(RawData!$E$1:$E$272,"2.5",RawData!$J1:$J272,"x",RawData!$P$1:$P$272,"No"),COUNTIFS(RawData!$E$1:$E$272,"2.5",RawData!$J1:$J272,"x",RawData!$P$1:$P$272,"M1"))</f>
        <v>0</v>
      </c>
      <c r="G9" s="661">
        <f ca="1">SUM(COUNTIFS(RawData!$E$1:$E$272,"2.5",RawData!$J1:$J272,"x",RawData!$P$1:$P$272,"Partial"),COUNTIFS(RawData!$E$1:$E$272,"2.5",RawData!$J1:$J272,"x",RawData!$P$1:$P$272,"M2"))</f>
        <v>0</v>
      </c>
      <c r="H9" s="661">
        <f ca="1">SUM(COUNTIFS(RawData!$E$1:$E$272,"2.5",RawData!$J1:$J272,"x",RawData!$P$1:$P$272,"Yes"),COUNTIFS(RawData!$E$1:$E$272,"2.5",RawData!$J1:$J272,"x",RawData!$P$1:$P$272,"M3"))</f>
        <v>0</v>
      </c>
      <c r="I9" s="661">
        <f ca="1">COUNTIFS(RawData!$E$1:$E$272,"2.5",RawData!$J1:$J272,"x",RawData!$P$1:$P$272,"M4")</f>
        <v>0</v>
      </c>
      <c r="J9" s="661">
        <f ca="1">COUNTIFS(RawData!$E$1:$E$272,"2.5",RawData!$J1:$J272,"x",RawData!$P$1:$P$272,"M5")</f>
        <v>0</v>
      </c>
      <c r="K9" s="662">
        <f t="shared" ca="1" si="1"/>
        <v>0</v>
      </c>
      <c r="L9" s="662">
        <f ca="1">IFERROR(((I9*1)+(J9*2))/(COUNTIFS(RawData!$B$1:$B$271,"D2.5",RawData!$F$1:$F$271,"N",RawData!$O$1:$O$271,"Maturity")-COUNTIFS(RawData!$B$1:$B$271,"D2.5",RawData!$F$1:$F$271,"N",RawData!$O$1:$O$271,"Maturity",RawData!$P$1:$P$271,"N/A")),0)</f>
        <v>0</v>
      </c>
      <c r="M9" s="662">
        <f t="shared" ref="M9:M10" ca="1" si="2">IFERROR(K9+L9,"N/A")</f>
        <v>0</v>
      </c>
      <c r="O9" s="550" t="s">
        <v>1693</v>
      </c>
      <c r="P9" s="552">
        <v>3</v>
      </c>
      <c r="Q9" s="552">
        <v>2</v>
      </c>
      <c r="R9" s="552">
        <v>1</v>
      </c>
      <c r="S9" s="666">
        <f ca="1">K10</f>
        <v>0</v>
      </c>
    </row>
    <row r="10" spans="1:21" x14ac:dyDescent="0.25">
      <c r="A10" s="657">
        <v>2.8</v>
      </c>
      <c r="B10" s="658" t="s">
        <v>1693</v>
      </c>
      <c r="C10" s="659" t="s">
        <v>1694</v>
      </c>
      <c r="D10" s="660">
        <f t="shared" ref="D10:J10" ca="1" si="3">SUM(D11:D16)</f>
        <v>30</v>
      </c>
      <c r="E10" s="663">
        <f t="shared" ca="1" si="3"/>
        <v>1</v>
      </c>
      <c r="F10" s="663">
        <f t="shared" ca="1" si="3"/>
        <v>0</v>
      </c>
      <c r="G10" s="663">
        <f t="shared" ca="1" si="3"/>
        <v>0</v>
      </c>
      <c r="H10" s="663">
        <f t="shared" ca="1" si="3"/>
        <v>0</v>
      </c>
      <c r="I10" s="663">
        <f t="shared" ca="1" si="3"/>
        <v>0</v>
      </c>
      <c r="J10" s="663">
        <f t="shared" ca="1" si="3"/>
        <v>0</v>
      </c>
      <c r="K10" s="662">
        <f t="shared" ca="1" si="1"/>
        <v>0</v>
      </c>
      <c r="L10" s="662">
        <f ca="1">IFERROR(((I10*1)+(J10*2))/(COUNTIFS(RawData!$B$1:$B$271,"D2.8",RawData!$F$1:$F$271,"N",RawData!$O$1:$O$271,"Maturity")-COUNTIFS(RawData!$B$1:$B$271,"D2.8",RawData!$F$1:$F$271,"N",RawData!$O$1:$O$271,"Maturity",RawData!$P$1:$P$271,"N/A")),0)</f>
        <v>0</v>
      </c>
      <c r="M10" s="662">
        <f t="shared" ca="1" si="2"/>
        <v>0</v>
      </c>
      <c r="O10" s="550" t="s">
        <v>1724</v>
      </c>
      <c r="P10" s="552">
        <v>3</v>
      </c>
      <c r="Q10" s="552">
        <v>2</v>
      </c>
      <c r="R10" s="552">
        <v>1</v>
      </c>
      <c r="S10" s="666">
        <f ca="1">K17</f>
        <v>0</v>
      </c>
    </row>
    <row r="11" spans="1:21" s="552" customFormat="1" x14ac:dyDescent="0.25">
      <c r="A11" s="636" t="s">
        <v>1596</v>
      </c>
      <c r="B11" s="602" t="s">
        <v>1695</v>
      </c>
      <c r="C11" s="608" t="s">
        <v>1696</v>
      </c>
      <c r="D11" s="1">
        <f ca="1">COUNTIFS(RawData!$E$1:$E$272,"2.8.1",RawData!$J1:$J272,"x")</f>
        <v>4</v>
      </c>
      <c r="E11" s="64">
        <f ca="1">COUNTIFS(RawData!$E$1:$E$272,"2.8.1",RawData!$J1:$J272,"x",RawData!$P$1:$P$272,"N/A")</f>
        <v>0</v>
      </c>
      <c r="F11" s="64">
        <f ca="1">SUM(COUNTIFS(RawData!$E$1:$E$272,"2.8.1",RawData!$J1:$J272,"x",RawData!$P$1:$P$272,"No"),COUNTIFS(RawData!$E$1:$E$272,"2.8.1",RawData!$J1:$J272,"x",RawData!$P$1:$P$272,"M1"))</f>
        <v>0</v>
      </c>
      <c r="G11" s="64">
        <f ca="1">SUM(COUNTIFS(RawData!$E$1:$E$272,"2.8.1",RawData!$J1:$J272,"x",RawData!$P$1:$P$272,"Partial"),COUNTIFS(RawData!$E$1:$E$272,"2.8.1",RawData!$J1:$J272,"x",RawData!$P$1:$P$272,"M2"))</f>
        <v>0</v>
      </c>
      <c r="H11" s="64">
        <f ca="1">SUM(COUNTIFS(RawData!$E$1:$E$272,"2.8.1",RawData!$J1:$J272,"x",RawData!$P$1:$P$272,"Yes"),COUNTIFS(RawData!$E$1:$E$272,"2.8.1",RawData!$J1:$J272,"x",RawData!$P$1:$P$272,"M3"))</f>
        <v>0</v>
      </c>
      <c r="I11" s="64">
        <f ca="1">COUNTIFS(RawData!$E$1:$E$272,"2.8.1",RawData!$J1:$J272,"x",RawData!$P$1:$P$272,"M4")</f>
        <v>0</v>
      </c>
      <c r="J11" s="64">
        <f ca="1">COUNTIFS(RawData!$E$1:$E$272,"2.8.1",RawData!$J1:$J272,"x",RawData!$P$1:$P$272,"M5")</f>
        <v>0</v>
      </c>
      <c r="K11" s="597">
        <f t="shared" ca="1" si="1"/>
        <v>0</v>
      </c>
      <c r="L11" s="597">
        <f ca="1">IFERROR(((I11*1)+(J11*2))/(COUNTIFS(RawData!$E$1:$E$271,"2.8.1",RawData!$F$1:$F$271,"N",RawData!$O$1:$O$271,"Maturity")-COUNTIFS(RawData!$E$1:$E$271,"2.8.1",RawData!$F$1:$F$271,"N",RawData!$O$1:$O$271,"Maturity",RawData!$P$1:$P$271,"N/A")),0)</f>
        <v>0</v>
      </c>
      <c r="M11" s="597">
        <f ca="1">IFERROR(K11+L11,"N/A")</f>
        <v>0</v>
      </c>
      <c r="O11" s="552" t="s">
        <v>1729</v>
      </c>
      <c r="P11" s="552">
        <v>3</v>
      </c>
      <c r="Q11" s="550">
        <v>2</v>
      </c>
      <c r="R11" s="550">
        <v>1</v>
      </c>
      <c r="S11" s="666">
        <f ca="1">K18</f>
        <v>0</v>
      </c>
    </row>
    <row r="12" spans="1:21" s="552" customFormat="1" x14ac:dyDescent="0.25">
      <c r="A12" s="636" t="s">
        <v>1600</v>
      </c>
      <c r="B12" s="602" t="s">
        <v>1701</v>
      </c>
      <c r="C12" s="608" t="s">
        <v>1702</v>
      </c>
      <c r="D12" s="1">
        <f ca="1">COUNTIFS(RawData!$E$1:$E$272,"2.8.4",RawData!$J1:$J272,"x")</f>
        <v>5</v>
      </c>
      <c r="E12" s="64">
        <f ca="1">COUNTIFS(RawData!$E$1:$E$272,"2.8.4",RawData!$J1:$J272,"x",RawData!$P$1:$P$272,"N/A")</f>
        <v>0</v>
      </c>
      <c r="F12" s="64">
        <f ca="1">SUM(COUNTIFS(RawData!$E$1:$E$272,"2.8.4",RawData!$J1:$J272,"x",RawData!$P$1:$P$272,"No"),COUNTIFS(RawData!$E$1:$E$272,"2.8.4",RawData!$J1:$J272,"x",RawData!$P$1:$P$272,"M1"))</f>
        <v>0</v>
      </c>
      <c r="G12" s="64">
        <f ca="1">SUM(COUNTIFS(RawData!$E$1:$E$272,"2.8.4",RawData!$J1:$J272,"x",RawData!$P$1:$P$272,"Partial"),COUNTIFS(RawData!$E$1:$E$272,"2.8.4",RawData!$J1:$J272,"x",RawData!$P$1:$P$272,"M2"))</f>
        <v>0</v>
      </c>
      <c r="H12" s="64">
        <f ca="1">SUM(COUNTIFS(RawData!$E$1:$E$272,"2.8.4",RawData!$J1:$J272,"x",RawData!$P$1:$P$272,"Yes"),COUNTIFS(RawData!$E$1:$E$272,"2.8.4",RawData!$J1:$J272,"x",RawData!$P$1:$P$272,"M3"))</f>
        <v>0</v>
      </c>
      <c r="I12" s="64">
        <f ca="1">COUNTIFS(RawData!$E$1:$E$272,"2.8.4",RawData!$J1:$J272,"x",RawData!$P$1:$P$272,"M4")</f>
        <v>0</v>
      </c>
      <c r="J12" s="64">
        <f ca="1">COUNTIFS(RawData!$E$1:$E$272,"2.8.4",RawData!$J1:$J272,"x",RawData!$P$1:$P$272,"M5")</f>
        <v>0</v>
      </c>
      <c r="K12" s="597">
        <f t="shared" ca="1" si="1"/>
        <v>0</v>
      </c>
      <c r="L12" s="597">
        <f ca="1">IFERROR(((I12*1)+(J12*2))/(COUNTIFS(RawData!$E$1:$E$271,"2.8.4",RawData!$F$1:$F$271,"N",RawData!$O$1:$O$271,"Maturity")-COUNTIFS(RawData!$E$1:$E$271,"2.8.4",RawData!$F$1:$F$271,"N",RawData!$O$1:$O$271,"Maturity",RawData!$P$1:$P$271,"N/A")),0)</f>
        <v>0</v>
      </c>
      <c r="M12" s="597">
        <f t="shared" ref="M12:M16" ca="1" si="4">IFERROR(K12+L12,"N/A")</f>
        <v>0</v>
      </c>
    </row>
    <row r="13" spans="1:21" s="552" customFormat="1" x14ac:dyDescent="0.25">
      <c r="A13" s="636" t="s">
        <v>1604</v>
      </c>
      <c r="B13" s="602" t="s">
        <v>1703</v>
      </c>
      <c r="C13" s="608" t="s">
        <v>1704</v>
      </c>
      <c r="D13" s="1">
        <f ca="1">COUNTIFS(RawData!$E$1:$E$272,"2.8.5",RawData!$J1:$J272,"x")</f>
        <v>5</v>
      </c>
      <c r="E13" s="64">
        <f ca="1">COUNTIFS(RawData!$E$1:$E$272,"2.8.5",RawData!$J1:$J272,"x",RawData!$P$1:$P$272,"N/A")</f>
        <v>0</v>
      </c>
      <c r="F13" s="64">
        <f ca="1">SUM(COUNTIFS(RawData!$E$1:$E$272,"2.8.5",RawData!$J1:$J272,"x",RawData!$P$1:$P$272,"No"),COUNTIFS(RawData!$E$1:$E$272,"2.8.5",RawData!$J1:$J272,"x",RawData!$P$1:$P$272,"M1"))</f>
        <v>0</v>
      </c>
      <c r="G13" s="64">
        <f ca="1">SUM(COUNTIFS(RawData!$E$1:$E$272,"2.8.5",RawData!$J1:$J272,"x",RawData!$P$1:$P$272,"Partial"),COUNTIFS(RawData!$E$1:$E$272,"2.8.5",RawData!$J1:$J272,"x",RawData!$P$1:$P$272,"M2"))</f>
        <v>0</v>
      </c>
      <c r="H13" s="64">
        <f ca="1">SUM(COUNTIFS(RawData!$E$1:$E$272,"2.8.5",RawData!$J1:$J272,"x",RawData!$P$1:$P$272,"Yes"),COUNTIFS(RawData!$E$1:$E$272,"2.8.5",RawData!$J1:$J272,"x",RawData!$P$1:$P$272,"M3"))</f>
        <v>0</v>
      </c>
      <c r="I13" s="64">
        <f ca="1">COUNTIFS(RawData!$E$1:$E$272,"2.8.5",RawData!$J1:$J272,"x",RawData!$P$1:$P$272,"M4")</f>
        <v>0</v>
      </c>
      <c r="J13" s="64">
        <f ca="1">COUNTIFS(RawData!$E$1:$E$272,"2.8.5",RawData!$J1:$J272,"x",RawData!$P$1:$P$272,"M5")</f>
        <v>0</v>
      </c>
      <c r="K13" s="597">
        <f t="shared" ca="1" si="1"/>
        <v>0</v>
      </c>
      <c r="L13" s="597">
        <f ca="1">IFERROR(((I13*1)+(J13*2))/(COUNTIFS(RawData!$E$1:$E$271,"2.8.5",RawData!$F$1:$F$271,"N",RawData!$O$1:$O$271,"Maturity")-COUNTIFS(RawData!$E$1:$E$271,"2.8.5",RawData!$F$1:$F$271,"N",RawData!$O$1:$O$271,"Maturity",RawData!$P$1:$P$271,"N/A")),0)</f>
        <v>0</v>
      </c>
      <c r="M13" s="597">
        <f t="shared" ca="1" si="4"/>
        <v>0</v>
      </c>
      <c r="O13" s="550" t="s">
        <v>1681</v>
      </c>
      <c r="P13" s="552">
        <v>5</v>
      </c>
      <c r="Q13" s="552">
        <v>4</v>
      </c>
      <c r="R13" s="552">
        <v>3</v>
      </c>
      <c r="S13" s="552">
        <v>2</v>
      </c>
      <c r="T13" s="552">
        <v>1</v>
      </c>
      <c r="U13" s="666">
        <f ca="1">M8</f>
        <v>0</v>
      </c>
    </row>
    <row r="14" spans="1:21" s="552" customFormat="1" x14ac:dyDescent="0.25">
      <c r="A14" s="636" t="s">
        <v>1615</v>
      </c>
      <c r="B14" s="602" t="s">
        <v>1711</v>
      </c>
      <c r="C14" s="608" t="s">
        <v>1712</v>
      </c>
      <c r="D14" s="1">
        <f ca="1">COUNTIFS(RawData!$E$1:$E$272,"2.8.9",RawData!$J1:$J272,"x")</f>
        <v>4</v>
      </c>
      <c r="E14" s="64">
        <f ca="1">COUNTIFS(RawData!$E$1:$E$272,"2.8.9",RawData!$J1:$J272,"x",RawData!$P$1:$P$272,"N/A")</f>
        <v>0</v>
      </c>
      <c r="F14" s="64">
        <f ca="1">SUM(COUNTIFS(RawData!$E$1:$E$272,"2.8.9",RawData!$J1:$J272,"x",RawData!$P$1:$P$272,"No"),COUNTIFS(RawData!$E$1:$E$272,"2.8.9",RawData!$J1:$J272,"x",RawData!$P$1:$P$272,"M1"))</f>
        <v>0</v>
      </c>
      <c r="G14" s="64">
        <f ca="1">SUM(COUNTIFS(RawData!$E$1:$E$272,"2.8.9",RawData!$J1:$J272,"x",RawData!$P$1:$P$272,"Partial"),COUNTIFS(RawData!$E$1:$E$272,"2.8.9",RawData!$J1:$J272,"x",RawData!$P$1:$P$272,"M2"))</f>
        <v>0</v>
      </c>
      <c r="H14" s="64">
        <f ca="1">SUM(COUNTIFS(RawData!$E$1:$E$272,"2.8.9",RawData!$J1:$J272,"x",RawData!$P$1:$P$272,"Yes"),COUNTIFS(RawData!$E$1:$E$272,"2.8.9",RawData!$J1:$J272,"x",RawData!$P$1:$P$272,"M3"))</f>
        <v>0</v>
      </c>
      <c r="I14" s="64">
        <f ca="1">COUNTIFS(RawData!$E$1:$E$272,"2.8.9",RawData!$J1:$J272,"x",RawData!$P$1:$P$272,"M4")</f>
        <v>0</v>
      </c>
      <c r="J14" s="64">
        <f ca="1">COUNTIFS(RawData!$E$1:$E$272,"2.8.9",RawData!$J1:$J272,"x",RawData!$P$1:$P$272,"M5")</f>
        <v>0</v>
      </c>
      <c r="K14" s="597">
        <f t="shared" ca="1" si="1"/>
        <v>0</v>
      </c>
      <c r="L14" s="597">
        <f ca="1">IFERROR(((I14*1)+(J14*2))/(COUNTIFS(RawData!$E$1:$E$271,"2.8.9",RawData!$F$1:$F$271,"N",RawData!$O$1:$O$271,"Maturity")-COUNTIFS(RawData!$E$1:$E$271,"2.8.9",RawData!$F$1:$F$271,"N",RawData!$O$1:$O$271,"Maturity",RawData!$P$1:$P$271,"N/A")),0)</f>
        <v>0</v>
      </c>
      <c r="M14" s="597">
        <f t="shared" ca="1" si="4"/>
        <v>0</v>
      </c>
      <c r="O14" s="550" t="s">
        <v>1687</v>
      </c>
      <c r="P14" s="552">
        <v>5</v>
      </c>
      <c r="Q14" s="552">
        <v>4</v>
      </c>
      <c r="R14" s="552">
        <v>3</v>
      </c>
      <c r="S14" s="552">
        <v>2</v>
      </c>
      <c r="T14" s="552">
        <v>1</v>
      </c>
      <c r="U14" s="666">
        <f ca="1">M9</f>
        <v>0</v>
      </c>
    </row>
    <row r="15" spans="1:21" s="552" customFormat="1" x14ac:dyDescent="0.25">
      <c r="A15" s="636" t="s">
        <v>1616</v>
      </c>
      <c r="B15" s="602" t="s">
        <v>1713</v>
      </c>
      <c r="C15" s="608" t="s">
        <v>1714</v>
      </c>
      <c r="D15" s="1">
        <f ca="1">COUNTIFS(RawData!$E$1:$E$272,"2.8.10",RawData!$J1:$J272,"x")</f>
        <v>9</v>
      </c>
      <c r="E15" s="64">
        <f ca="1">COUNTIFS(RawData!$E$1:$E$272,"2.8.10",RawData!$J1:$J272,"x",RawData!$P$1:$P$272,"N/A")</f>
        <v>1</v>
      </c>
      <c r="F15" s="64">
        <f ca="1">SUM(COUNTIFS(RawData!$E$1:$E$272,"2.8.10",RawData!$J1:$J272,"x",RawData!$P$1:$P$272,"No"),COUNTIFS(RawData!$E$1:$E$272,"2.8.10",RawData!$J1:$J272,"x",RawData!$P$1:$P$272,"M1"))</f>
        <v>0</v>
      </c>
      <c r="G15" s="64">
        <f ca="1">SUM(COUNTIFS(RawData!$E$1:$E$272,"2.8.10",RawData!$J1:$J272,"x",RawData!$P$1:$P$272,"Partial"),COUNTIFS(RawData!$E$1:$E$272,"2.8.10",RawData!$J1:$J272,"x",RawData!$P$1:$P$272,"M2"))</f>
        <v>0</v>
      </c>
      <c r="H15" s="64">
        <f ca="1">SUM(COUNTIFS(RawData!$E$1:$E$272,"2.8.10",RawData!$J1:$J272,"x",RawData!$P$1:$P$272,"Yes"),COUNTIFS(RawData!$E$1:$E$272,"2.8.10",RawData!$J1:$J272,"x",RawData!$P$1:$P$272,"M3"))</f>
        <v>0</v>
      </c>
      <c r="I15" s="64">
        <f ca="1">COUNTIFS(RawData!$E$1:$E$272,"2.8.10",RawData!$J1:$J272,"x",RawData!$P$1:$P$272,"M4")</f>
        <v>0</v>
      </c>
      <c r="J15" s="64">
        <f ca="1">COUNTIFS(RawData!$E$1:$E$272,"2.8.10",RawData!$J1:$J272,"x",RawData!$P$1:$P$272,"M5")</f>
        <v>0</v>
      </c>
      <c r="K15" s="597">
        <f t="shared" ca="1" si="1"/>
        <v>0</v>
      </c>
      <c r="L15" s="597">
        <f ca="1">IFERROR(((I15*1)+(J15*2))/(COUNTIFS(RawData!$E$1:$E$271,"2.8.10",RawData!$F$1:$F$271,"N",RawData!$O$1:$O$271,"Maturity")-COUNTIFS(RawData!$E$1:$E$271,"2.8.10",RawData!$F$1:$F$271,"N",RawData!$O$1:$O$271,"Maturity",RawData!$P$1:$P$271,"N/A")),0)</f>
        <v>0</v>
      </c>
      <c r="M15" s="597">
        <f t="shared" ca="1" si="4"/>
        <v>0</v>
      </c>
      <c r="O15" s="550" t="s">
        <v>1693</v>
      </c>
      <c r="P15" s="552">
        <v>5</v>
      </c>
      <c r="Q15" s="552">
        <v>4</v>
      </c>
      <c r="R15" s="552">
        <v>3</v>
      </c>
      <c r="S15" s="552">
        <v>2</v>
      </c>
      <c r="T15" s="552">
        <v>1</v>
      </c>
      <c r="U15" s="666">
        <f ca="1">M10</f>
        <v>0</v>
      </c>
    </row>
    <row r="16" spans="1:21" s="552" customFormat="1" x14ac:dyDescent="0.25">
      <c r="A16" s="636" t="s">
        <v>1617</v>
      </c>
      <c r="B16" s="602" t="s">
        <v>1715</v>
      </c>
      <c r="C16" s="608" t="s">
        <v>1716</v>
      </c>
      <c r="D16" s="1">
        <f ca="1">COUNTIFS(RawData!$E$1:$E$272,"2.8.11",RawData!$J1:$J272,"x")</f>
        <v>3</v>
      </c>
      <c r="E16" s="64">
        <f ca="1">COUNTIFS(RawData!$E$1:$E$272,"2.8.11",RawData!$J1:$J272,"x",RawData!$P$1:$P$272,"N/A")</f>
        <v>0</v>
      </c>
      <c r="F16" s="64">
        <f ca="1">SUM(COUNTIFS(RawData!$E$1:$E$272,"2.8.11",RawData!$J1:$J272,"x",RawData!$P$1:$P$272,"No"),COUNTIFS(RawData!$E$1:$E$272,"2.8.11",RawData!$J1:$J272,"x",RawData!$P$1:$P$272,"M1"))</f>
        <v>0</v>
      </c>
      <c r="G16" s="64">
        <f ca="1">SUM(COUNTIFS(RawData!$E$1:$E$272,"2.8.11",RawData!$J1:$J272,"x",RawData!$P$1:$P$272,"Partial"),COUNTIFS(RawData!$E$1:$E$272,"2.8.11",RawData!$J1:$J272,"x",RawData!$P$1:$P$272,"M2"))</f>
        <v>0</v>
      </c>
      <c r="H16" s="64">
        <f ca="1">SUM(COUNTIFS(RawData!$E$1:$E$272,"2.8.11",RawData!$J1:$J272,"x",RawData!$P$1:$P$272,"Yes"),COUNTIFS(RawData!$E$1:$E$272,"2.8.11",RawData!$J1:$J272,"x",RawData!$P$1:$P$272,"M3"))</f>
        <v>0</v>
      </c>
      <c r="I16" s="64">
        <f ca="1">COUNTIFS(RawData!$E$1:$E$272,"2.8.11",RawData!$J1:$J272,"x",RawData!$P$1:$P$272,"M4")</f>
        <v>0</v>
      </c>
      <c r="J16" s="64">
        <f ca="1">COUNTIFS(RawData!$E$1:$E$272,"2.8.11",RawData!$J1:$J272,"x",RawData!$P$1:$P$272,"M5")</f>
        <v>0</v>
      </c>
      <c r="K16" s="597">
        <f t="shared" ca="1" si="1"/>
        <v>0</v>
      </c>
      <c r="L16" s="597">
        <f ca="1">IFERROR(((I16*1)+(J16*2))/(COUNTIFS(RawData!$E$1:$E$271,"2.8.11",RawData!$F$1:$F$271,"N",RawData!$O$1:$O$271,"Maturity")-COUNTIFS(RawData!$E$1:$E$271,"2.8.11",RawData!$F$1:$F$271,"N",RawData!$O$1:$O$271,"Maturity",RawData!$P$1:$P$271,"N/A")),0)</f>
        <v>0</v>
      </c>
      <c r="M16" s="597">
        <f t="shared" ca="1" si="4"/>
        <v>0</v>
      </c>
      <c r="O16" s="550" t="s">
        <v>1724</v>
      </c>
      <c r="P16" s="552">
        <v>5</v>
      </c>
      <c r="Q16" s="552">
        <v>4</v>
      </c>
      <c r="R16" s="552">
        <v>3</v>
      </c>
      <c r="S16" s="552">
        <v>2</v>
      </c>
      <c r="T16" s="552">
        <v>1</v>
      </c>
      <c r="U16" s="666">
        <f ca="1">M17</f>
        <v>0</v>
      </c>
    </row>
    <row r="17" spans="1:21" x14ac:dyDescent="0.25">
      <c r="A17" s="657" t="s">
        <v>1723</v>
      </c>
      <c r="B17" s="658" t="s">
        <v>1724</v>
      </c>
      <c r="C17" s="659" t="s">
        <v>1725</v>
      </c>
      <c r="D17" s="660">
        <f ca="1">COUNTIFS(RawData!$E$1:$E$272,"2.11",RawData!$J1:$J272,"x")</f>
        <v>4</v>
      </c>
      <c r="E17" s="661">
        <f ca="1">COUNTIFS(RawData!$E$1:$E$272,"2.11",RawData!$J1:$J272,"x",RawData!$P$1:$P$272,"N/A")</f>
        <v>0</v>
      </c>
      <c r="F17" s="661">
        <f ca="1">SUM(COUNTIFS(RawData!$E$1:$E$272,"2.11",RawData!$J1:$J272,"x",RawData!$P$1:$P$272,"No"),COUNTIFS(RawData!$E$1:$E$272,"2.11",RawData!$J1:$J272,"x",RawData!$P$1:$P$272,"M1"))</f>
        <v>0</v>
      </c>
      <c r="G17" s="661">
        <f ca="1">SUM(COUNTIFS(RawData!$E$1:$E$272,"2.11",RawData!$J1:$J272,"x",RawData!$P$1:$P$272,"Partial"),COUNTIFS(RawData!$E$1:$E$272,"2.11",RawData!$J1:$J272,"x",RawData!$P$1:$P$272,"M2"))</f>
        <v>0</v>
      </c>
      <c r="H17" s="661">
        <f ca="1">SUM(COUNTIFS(RawData!$E$1:$E$272,"2.11",RawData!$J1:$J272,"x",RawData!$P$1:$P$272,"Yes"),COUNTIFS(RawData!$E$1:$E$272,"2.11",RawData!$J1:$J272,"x",RawData!$P$1:$P$272,"M3"))</f>
        <v>0</v>
      </c>
      <c r="I17" s="661">
        <f ca="1">COUNTIFS(RawData!$E$1:$E$272,"2.11",RawData!$J1:$J272,"x",RawData!$P$1:$P$272,"M4")</f>
        <v>0</v>
      </c>
      <c r="J17" s="661">
        <f ca="1">COUNTIFS(RawData!$E$1:$E$272,"2.11",RawData!$J1:$J272,"x",RawData!$P$1:$P$272,"M5")</f>
        <v>0</v>
      </c>
      <c r="K17" s="662">
        <f t="shared" ca="1" si="1"/>
        <v>0</v>
      </c>
      <c r="L17" s="662">
        <f ca="1">IFERROR(((I17*1)+(J17*2))/(COUNTIFS(RawData!$B$1:$B$271,"D2.11",RawData!$F$1:$F$271,"N",RawData!$O$1:$O$271,"Maturity")-COUNTIFS(RawData!$B$1:$B$271,"D2.11",RawData!$F$1:$F$271,"N",RawData!$O$1:$O$271,"Maturity",RawData!$P$1:$P$271,"N/A")),0)</f>
        <v>0</v>
      </c>
      <c r="M17" s="662">
        <f ca="1">IFERROR(K17+L17,"N/A")</f>
        <v>0</v>
      </c>
      <c r="O17" s="552" t="s">
        <v>1729</v>
      </c>
      <c r="P17" s="550">
        <v>5</v>
      </c>
      <c r="Q17" s="552">
        <v>4</v>
      </c>
      <c r="R17" s="552">
        <v>3</v>
      </c>
      <c r="S17" s="550">
        <v>2</v>
      </c>
      <c r="T17" s="550">
        <v>1</v>
      </c>
      <c r="U17" s="666">
        <f ca="1">M18</f>
        <v>0</v>
      </c>
    </row>
    <row r="18" spans="1:21" ht="13.15" thickBot="1" x14ac:dyDescent="0.3">
      <c r="A18" s="646" t="s">
        <v>267</v>
      </c>
      <c r="B18" s="646" t="s">
        <v>1729</v>
      </c>
      <c r="C18" s="647" t="s">
        <v>1730</v>
      </c>
      <c r="D18" s="648">
        <f ca="1">COUNTIFS(RawData!$E$1:$E$272,"3",RawData!$J1:$J272,"x")</f>
        <v>9</v>
      </c>
      <c r="E18" s="649">
        <f ca="1">COUNTIFS(RawData!$E$1:$E$272,"3",RawData!$J1:$J272,"x",RawData!$P$1:$P$272,"N/A")</f>
        <v>7</v>
      </c>
      <c r="F18" s="649">
        <f ca="1">SUM(COUNTIFS(RawData!$E$1:$E$272,"3",RawData!$J1:$J272,"x",RawData!$P$1:$P$272,"No"),COUNTIFS(RawData!$E$1:$E$272,"3",RawData!$J1:$J272,"x",RawData!$P$1:$P$272,"M1"))</f>
        <v>0</v>
      </c>
      <c r="G18" s="649">
        <f ca="1">SUM(COUNTIFS(RawData!$E$1:$E$272,"3",RawData!$J1:$J272,"x",RawData!$P$1:$P$272,"Partial"),COUNTIFS(RawData!$E$1:$E$272,"3",RawData!$J1:$J272,"x",RawData!$P$1:$P$272,"M2"))</f>
        <v>0</v>
      </c>
      <c r="H18" s="649">
        <f ca="1">SUM(COUNTIFS(RawData!$E$1:$E$272,"3",RawData!$J1:$J272,"x",RawData!$P$1:$P$272,"Yes"),COUNTIFS(RawData!$E$1:$E$272,"3",RawData!$J1:$J272,"x",RawData!$P$1:$P$272,"M3"))</f>
        <v>0</v>
      </c>
      <c r="I18" s="649">
        <f ca="1">COUNTIFS(RawData!$E$1:$E$272,"3",RawData!$J1:$J272,"x",RawData!$P$1:$P$272,"M4")</f>
        <v>0</v>
      </c>
      <c r="J18" s="649">
        <f ca="1">COUNTIFS(RawData!$E$1:$E$272,"3",RawData!$J1:$J272,"x",RawData!$P$1:$P$272,"M5")</f>
        <v>0</v>
      </c>
      <c r="K18" s="650">
        <f t="shared" ca="1" si="1"/>
        <v>0</v>
      </c>
      <c r="L18" s="650"/>
      <c r="M18" s="650">
        <f ca="1">K18</f>
        <v>0</v>
      </c>
    </row>
    <row r="19" spans="1:21" ht="13.15" thickBot="1" x14ac:dyDescent="0.3">
      <c r="A19" s="651"/>
      <c r="B19" s="655" t="s">
        <v>1731</v>
      </c>
      <c r="C19" s="652"/>
      <c r="D19" s="653"/>
      <c r="E19" s="654">
        <f ca="1">SUM(E7,E18)</f>
        <v>8</v>
      </c>
      <c r="F19" s="654">
        <f t="shared" ref="F19:J19" ca="1" si="5">SUM(F7,F18)</f>
        <v>0</v>
      </c>
      <c r="G19" s="654">
        <f t="shared" ca="1" si="5"/>
        <v>0</v>
      </c>
      <c r="H19" s="654">
        <f t="shared" ca="1" si="5"/>
        <v>0</v>
      </c>
      <c r="I19" s="654">
        <f t="shared" ca="1" si="5"/>
        <v>0</v>
      </c>
      <c r="J19" s="654">
        <f t="shared" ca="1" si="5"/>
        <v>0</v>
      </c>
      <c r="K19" s="656">
        <f ca="1">IFERROR(((F19*1)+(G19*2)+(H19*3)+(I19*3)+(J19*3))/(62-E19),"N/A")</f>
        <v>0</v>
      </c>
      <c r="L19" s="656"/>
      <c r="M19" s="656">
        <f ca="1">IFERROR(K19+(((SUM(I7,I18)*1)+(SUM(J7,J18)*2))/(13-E19)),"N/A")</f>
        <v>0</v>
      </c>
      <c r="O19" s="667" t="s">
        <v>1563</v>
      </c>
      <c r="P19" s="566">
        <f ca="1">RawData!AB$280</f>
        <v>0</v>
      </c>
    </row>
    <row r="20" spans="1:21" x14ac:dyDescent="0.25">
      <c r="A20" s="555"/>
      <c r="B20" s="556"/>
      <c r="O20" s="668" t="s">
        <v>1564</v>
      </c>
      <c r="P20" s="566">
        <f ca="1">RawData!AC$280</f>
        <v>0</v>
      </c>
    </row>
    <row r="21" spans="1:21" x14ac:dyDescent="0.25">
      <c r="O21" s="669" t="s">
        <v>1565</v>
      </c>
      <c r="P21" s="566">
        <f ca="1">RawData!AD$280</f>
        <v>0</v>
      </c>
    </row>
    <row r="22" spans="1:21" x14ac:dyDescent="0.25">
      <c r="O22" s="670" t="s">
        <v>1566</v>
      </c>
      <c r="P22" s="566">
        <f ca="1">RawData!AE$280</f>
        <v>0</v>
      </c>
    </row>
    <row r="23" spans="1:21" x14ac:dyDescent="0.25">
      <c r="O23" s="671" t="s">
        <v>1567</v>
      </c>
      <c r="P23" s="566">
        <f ca="1">RawData!AF$280</f>
        <v>0</v>
      </c>
    </row>
    <row r="25" spans="1:21" x14ac:dyDescent="0.25">
      <c r="O25" s="550" t="s">
        <v>1681</v>
      </c>
      <c r="P25" s="666">
        <f ca="1">K8</f>
        <v>0</v>
      </c>
      <c r="Q25" s="666">
        <f ca="1">R25-P25</f>
        <v>0</v>
      </c>
      <c r="R25" s="666">
        <f ca="1">M8</f>
        <v>0</v>
      </c>
    </row>
    <row r="26" spans="1:21" x14ac:dyDescent="0.25">
      <c r="O26" s="550" t="s">
        <v>1687</v>
      </c>
      <c r="P26" s="666">
        <f ca="1">K9</f>
        <v>0</v>
      </c>
      <c r="Q26" s="666">
        <f t="shared" ref="Q26:Q29" ca="1" si="6">R26-P26</f>
        <v>0</v>
      </c>
      <c r="R26" s="666">
        <f ca="1">M9</f>
        <v>0</v>
      </c>
    </row>
    <row r="27" spans="1:21" x14ac:dyDescent="0.25">
      <c r="O27" s="550" t="s">
        <v>1693</v>
      </c>
      <c r="P27" s="666">
        <f ca="1">K10</f>
        <v>0</v>
      </c>
      <c r="Q27" s="666">
        <f t="shared" ca="1" si="6"/>
        <v>0</v>
      </c>
      <c r="R27" s="666">
        <f ca="1">M10</f>
        <v>0</v>
      </c>
    </row>
    <row r="28" spans="1:21" x14ac:dyDescent="0.25">
      <c r="O28" s="550" t="s">
        <v>1724</v>
      </c>
      <c r="P28" s="666">
        <f ca="1">K17</f>
        <v>0</v>
      </c>
      <c r="Q28" s="666">
        <f t="shared" ca="1" si="6"/>
        <v>0</v>
      </c>
      <c r="R28" s="666">
        <f ca="1">M17</f>
        <v>0</v>
      </c>
    </row>
    <row r="29" spans="1:21" x14ac:dyDescent="0.25">
      <c r="O29" s="552" t="s">
        <v>1729</v>
      </c>
      <c r="P29" s="666">
        <f ca="1">K18</f>
        <v>0</v>
      </c>
      <c r="Q29" s="666">
        <f t="shared" ca="1" si="6"/>
        <v>0</v>
      </c>
      <c r="R29" s="666">
        <f ca="1">M18</f>
        <v>0</v>
      </c>
    </row>
  </sheetData>
  <mergeCells count="10">
    <mergeCell ref="B2:D2"/>
    <mergeCell ref="A4:A6"/>
    <mergeCell ref="B4:B6"/>
    <mergeCell ref="C4:C6"/>
    <mergeCell ref="D4:M4"/>
    <mergeCell ref="D5:D6"/>
    <mergeCell ref="E5:J5"/>
    <mergeCell ref="K5:K6"/>
    <mergeCell ref="M5:M6"/>
    <mergeCell ref="L5:L6"/>
  </mergeCells>
  <pageMargins left="0.7" right="0.7" top="0.75" bottom="0.75" header="0.3" footer="0.3"/>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DA74BB-A3CE-41F8-9DB0-4953CA2FC367}">
  <sheetPr codeName="Sheet3">
    <tabColor rgb="FFFFC000"/>
  </sheetPr>
  <dimension ref="A1:AE126"/>
  <sheetViews>
    <sheetView topLeftCell="B60" zoomScale="85" zoomScaleNormal="85" workbookViewId="0">
      <selection activeCell="I68" sqref="I68"/>
    </sheetView>
  </sheetViews>
  <sheetFormatPr defaultColWidth="8.69921875" defaultRowHeight="12.55" x14ac:dyDescent="0.2"/>
  <cols>
    <col min="1" max="1" width="116.19921875" style="15" bestFit="1" customWidth="1"/>
    <col min="2" max="2" width="34.69921875" style="15" customWidth="1"/>
    <col min="3" max="3" width="38.09765625" style="15" bestFit="1" customWidth="1"/>
    <col min="4" max="4" width="44.69921875" style="15" bestFit="1" customWidth="1"/>
    <col min="5" max="5" width="24.8984375" style="15" customWidth="1"/>
    <col min="6" max="6" width="41.69921875" style="15" bestFit="1" customWidth="1"/>
    <col min="7" max="7" width="16.19921875" style="15" customWidth="1"/>
    <col min="8" max="8" width="16.69921875" style="15" customWidth="1"/>
    <col min="9" max="9" width="71.19921875" style="15" customWidth="1"/>
    <col min="10" max="24" width="8.69921875" style="15"/>
    <col min="25" max="25" width="8.69921875" style="15" customWidth="1"/>
    <col min="26" max="16384" width="8.69921875" style="15"/>
  </cols>
  <sheetData>
    <row r="1" spans="1:31" ht="15.65" x14ac:dyDescent="0.2">
      <c r="A1" s="15" t="s">
        <v>1738</v>
      </c>
      <c r="B1" s="15" t="s">
        <v>43</v>
      </c>
      <c r="C1" s="15" t="s">
        <v>1739</v>
      </c>
      <c r="D1" s="15" t="s">
        <v>31</v>
      </c>
      <c r="E1" s="15" t="s">
        <v>182</v>
      </c>
      <c r="F1" s="15" t="s">
        <v>1740</v>
      </c>
      <c r="G1" s="15" t="s">
        <v>1741</v>
      </c>
      <c r="H1" s="15" t="s">
        <v>1742</v>
      </c>
      <c r="AA1" s="16"/>
      <c r="AB1" s="16"/>
      <c r="AC1" s="16"/>
      <c r="AD1" s="16"/>
      <c r="AE1" s="16"/>
    </row>
    <row r="2" spans="1:31" x14ac:dyDescent="0.2">
      <c r="A2" s="15" t="s">
        <v>1743</v>
      </c>
      <c r="B2" s="15" t="s">
        <v>48</v>
      </c>
      <c r="C2" s="15" t="s">
        <v>1744</v>
      </c>
      <c r="D2" s="15" t="s">
        <v>1745</v>
      </c>
      <c r="E2" s="15" t="s">
        <v>183</v>
      </c>
      <c r="F2" s="15" t="s">
        <v>1746</v>
      </c>
      <c r="G2" s="15" t="s">
        <v>1747</v>
      </c>
      <c r="H2" s="15" t="s">
        <v>1748</v>
      </c>
    </row>
    <row r="3" spans="1:31" x14ac:dyDescent="0.2">
      <c r="A3" s="15" t="s">
        <v>1749</v>
      </c>
      <c r="C3" s="15" t="s">
        <v>1750</v>
      </c>
      <c r="D3" s="15" t="s">
        <v>1751</v>
      </c>
      <c r="E3" s="15" t="s">
        <v>184</v>
      </c>
    </row>
    <row r="4" spans="1:31" x14ac:dyDescent="0.2">
      <c r="C4" s="15" t="s">
        <v>1752</v>
      </c>
      <c r="D4" s="15" t="s">
        <v>1753</v>
      </c>
    </row>
    <row r="5" spans="1:31" x14ac:dyDescent="0.2">
      <c r="C5" s="15" t="s">
        <v>44</v>
      </c>
    </row>
    <row r="6" spans="1:31" x14ac:dyDescent="0.2">
      <c r="A6" s="15" t="s">
        <v>206</v>
      </c>
    </row>
    <row r="7" spans="1:31" x14ac:dyDescent="0.2">
      <c r="A7" s="15" t="s">
        <v>255</v>
      </c>
    </row>
    <row r="8" spans="1:31" x14ac:dyDescent="0.2">
      <c r="A8" s="15" t="s">
        <v>1545</v>
      </c>
    </row>
    <row r="9" spans="1:31" x14ac:dyDescent="0.2">
      <c r="A9" s="15" t="s">
        <v>1754</v>
      </c>
    </row>
    <row r="10" spans="1:31" x14ac:dyDescent="0.2">
      <c r="A10" s="15" t="s">
        <v>1679</v>
      </c>
    </row>
    <row r="11" spans="1:31" x14ac:dyDescent="0.2">
      <c r="A11" s="15" t="s">
        <v>1755</v>
      </c>
    </row>
    <row r="12" spans="1:31" x14ac:dyDescent="0.2">
      <c r="A12" s="15" t="s">
        <v>1756</v>
      </c>
    </row>
    <row r="13" spans="1:31" x14ac:dyDescent="0.2">
      <c r="A13" s="15" t="s">
        <v>1757</v>
      </c>
    </row>
    <row r="14" spans="1:31" x14ac:dyDescent="0.2">
      <c r="A14" s="15" t="s">
        <v>1758</v>
      </c>
    </row>
    <row r="15" spans="1:31" x14ac:dyDescent="0.2">
      <c r="A15" s="15" t="s">
        <v>1759</v>
      </c>
    </row>
    <row r="16" spans="1:31" x14ac:dyDescent="0.2">
      <c r="A16" s="15" t="s">
        <v>1760</v>
      </c>
    </row>
    <row r="17" spans="1:1" x14ac:dyDescent="0.2">
      <c r="A17" s="15" t="s">
        <v>1761</v>
      </c>
    </row>
    <row r="18" spans="1:1" x14ac:dyDescent="0.2">
      <c r="A18" s="15" t="s">
        <v>1762</v>
      </c>
    </row>
    <row r="19" spans="1:1" x14ac:dyDescent="0.2">
      <c r="A19" s="15" t="s">
        <v>1763</v>
      </c>
    </row>
    <row r="20" spans="1:1" x14ac:dyDescent="0.2">
      <c r="A20" s="15" t="s">
        <v>1764</v>
      </c>
    </row>
    <row r="21" spans="1:1" x14ac:dyDescent="0.2">
      <c r="A21" s="15" t="s">
        <v>1765</v>
      </c>
    </row>
    <row r="23" spans="1:1" x14ac:dyDescent="0.2">
      <c r="A23" s="15" t="s">
        <v>206</v>
      </c>
    </row>
    <row r="24" spans="1:1" x14ac:dyDescent="0.2">
      <c r="A24" s="15" t="s">
        <v>255</v>
      </c>
    </row>
    <row r="25" spans="1:1" x14ac:dyDescent="0.2">
      <c r="A25" s="15" t="s">
        <v>1545</v>
      </c>
    </row>
    <row r="26" spans="1:1" x14ac:dyDescent="0.2">
      <c r="A26" s="15" t="s">
        <v>1766</v>
      </c>
    </row>
    <row r="27" spans="1:1" x14ac:dyDescent="0.2">
      <c r="A27" s="15" t="s">
        <v>1679</v>
      </c>
    </row>
    <row r="28" spans="1:1" x14ac:dyDescent="0.2">
      <c r="A28" s="15" t="s">
        <v>1767</v>
      </c>
    </row>
    <row r="29" spans="1:1" x14ac:dyDescent="0.2">
      <c r="A29" s="15" t="s">
        <v>1768</v>
      </c>
    </row>
    <row r="30" spans="1:1" x14ac:dyDescent="0.2">
      <c r="A30" s="15" t="s">
        <v>1688</v>
      </c>
    </row>
    <row r="31" spans="1:1" x14ac:dyDescent="0.2">
      <c r="A31" s="15" t="s">
        <v>1769</v>
      </c>
    </row>
    <row r="32" spans="1:1" x14ac:dyDescent="0.2">
      <c r="A32" s="15" t="s">
        <v>1770</v>
      </c>
    </row>
    <row r="33" spans="1:5" x14ac:dyDescent="0.2">
      <c r="A33" s="15" t="s">
        <v>1771</v>
      </c>
    </row>
    <row r="34" spans="1:5" x14ac:dyDescent="0.2">
      <c r="A34" s="15" t="s">
        <v>1772</v>
      </c>
    </row>
    <row r="35" spans="1:5" x14ac:dyDescent="0.2">
      <c r="A35" s="15" t="s">
        <v>1773</v>
      </c>
    </row>
    <row r="36" spans="1:5" x14ac:dyDescent="0.2">
      <c r="A36" s="15" t="s">
        <v>1550</v>
      </c>
    </row>
    <row r="37" spans="1:5" x14ac:dyDescent="0.2">
      <c r="A37" s="15" t="s">
        <v>1728</v>
      </c>
    </row>
    <row r="38" spans="1:5" x14ac:dyDescent="0.2">
      <c r="A38" s="15" t="s">
        <v>1774</v>
      </c>
    </row>
    <row r="40" spans="1:5" x14ac:dyDescent="0.2">
      <c r="A40" s="15" t="s">
        <v>1775</v>
      </c>
      <c r="B40" s="15" t="s">
        <v>1776</v>
      </c>
      <c r="C40" s="15" t="s">
        <v>1777</v>
      </c>
      <c r="D40" s="136" t="s">
        <v>91</v>
      </c>
      <c r="E40" s="136" t="s">
        <v>94</v>
      </c>
    </row>
    <row r="41" spans="1:5" x14ac:dyDescent="0.2">
      <c r="A41" s="15" t="s">
        <v>1778</v>
      </c>
      <c r="B41" s="15" t="s">
        <v>1779</v>
      </c>
      <c r="C41" s="15" t="s">
        <v>1780</v>
      </c>
      <c r="D41" s="136" t="s">
        <v>96</v>
      </c>
      <c r="E41" s="136" t="s">
        <v>102</v>
      </c>
    </row>
    <row r="42" spans="1:5" x14ac:dyDescent="0.2">
      <c r="A42" s="15" t="s">
        <v>1781</v>
      </c>
      <c r="E42" s="136" t="s">
        <v>107</v>
      </c>
    </row>
    <row r="43" spans="1:5" x14ac:dyDescent="0.2">
      <c r="E43" s="136" t="s">
        <v>1782</v>
      </c>
    </row>
    <row r="44" spans="1:5" x14ac:dyDescent="0.2">
      <c r="A44" s="15" t="s">
        <v>1783</v>
      </c>
      <c r="B44" s="15" t="s">
        <v>1784</v>
      </c>
      <c r="E44" s="136" t="s">
        <v>1785</v>
      </c>
    </row>
    <row r="45" spans="1:5" x14ac:dyDescent="0.2">
      <c r="A45" s="15" t="s">
        <v>1786</v>
      </c>
      <c r="B45" s="15" t="s">
        <v>1787</v>
      </c>
    </row>
    <row r="46" spans="1:5" x14ac:dyDescent="0.2">
      <c r="A46" s="15" t="s">
        <v>1788</v>
      </c>
      <c r="B46" s="15" t="s">
        <v>1789</v>
      </c>
    </row>
    <row r="47" spans="1:5" x14ac:dyDescent="0.2">
      <c r="A47" s="15" t="s">
        <v>1785</v>
      </c>
      <c r="B47" s="15" t="s">
        <v>1790</v>
      </c>
    </row>
    <row r="48" spans="1:5" x14ac:dyDescent="0.2">
      <c r="B48" s="15" t="s">
        <v>1791</v>
      </c>
    </row>
    <row r="49" spans="1:8" x14ac:dyDescent="0.2">
      <c r="B49" s="15" t="s">
        <v>1792</v>
      </c>
    </row>
    <row r="50" spans="1:8" x14ac:dyDescent="0.2">
      <c r="B50" s="15" t="s">
        <v>1793</v>
      </c>
    </row>
    <row r="51" spans="1:8" x14ac:dyDescent="0.2">
      <c r="B51" s="15" t="s">
        <v>1794</v>
      </c>
    </row>
    <row r="52" spans="1:8" x14ac:dyDescent="0.2">
      <c r="B52" s="15" t="s">
        <v>1785</v>
      </c>
    </row>
    <row r="55" spans="1:8" x14ac:dyDescent="0.2">
      <c r="A55" s="17" t="s">
        <v>1795</v>
      </c>
    </row>
    <row r="56" spans="1:8" x14ac:dyDescent="0.2">
      <c r="A56" s="18" t="s">
        <v>1796</v>
      </c>
    </row>
    <row r="59" spans="1:8" x14ac:dyDescent="0.2">
      <c r="A59" s="19" t="s">
        <v>1544</v>
      </c>
    </row>
    <row r="60" spans="1:8" x14ac:dyDescent="0.2">
      <c r="A60" s="19" t="s">
        <v>1548</v>
      </c>
    </row>
    <row r="61" spans="1:8" x14ac:dyDescent="0.2">
      <c r="A61" s="19" t="s">
        <v>1797</v>
      </c>
    </row>
    <row r="63" spans="1:8" x14ac:dyDescent="0.2">
      <c r="A63" s="20" t="s">
        <v>1798</v>
      </c>
      <c r="B63" s="21" t="s">
        <v>1799</v>
      </c>
      <c r="C63" s="21" t="s">
        <v>1800</v>
      </c>
      <c r="D63" s="21" t="s">
        <v>1784</v>
      </c>
      <c r="E63" s="21" t="s">
        <v>1801</v>
      </c>
      <c r="F63" s="21" t="s">
        <v>1802</v>
      </c>
      <c r="G63" s="21" t="s">
        <v>1803</v>
      </c>
      <c r="H63" s="21" t="s">
        <v>1804</v>
      </c>
    </row>
    <row r="64" spans="1:8" ht="14.4" x14ac:dyDescent="0.25">
      <c r="A64" s="26" t="s">
        <v>1805</v>
      </c>
      <c r="B64" s="26" t="s">
        <v>1806</v>
      </c>
      <c r="C64" s="26" t="s">
        <v>1807</v>
      </c>
      <c r="D64" s="26" t="s">
        <v>1808</v>
      </c>
      <c r="E64" s="26" t="s">
        <v>1808</v>
      </c>
      <c r="F64" s="26" t="s">
        <v>1809</v>
      </c>
      <c r="G64" s="15" t="s">
        <v>74</v>
      </c>
      <c r="H64" t="s">
        <v>1810</v>
      </c>
    </row>
    <row r="65" spans="1:8" ht="14.4" x14ac:dyDescent="0.25">
      <c r="A65" s="26" t="s">
        <v>1811</v>
      </c>
      <c r="B65" s="26" t="s">
        <v>1812</v>
      </c>
      <c r="C65" s="26" t="s">
        <v>1813</v>
      </c>
      <c r="D65" s="26" t="s">
        <v>1814</v>
      </c>
      <c r="E65" s="26" t="s">
        <v>1815</v>
      </c>
      <c r="F65" s="26" t="s">
        <v>1816</v>
      </c>
      <c r="G65" s="15" t="s">
        <v>1817</v>
      </c>
      <c r="H65" s="15" t="s">
        <v>74</v>
      </c>
    </row>
    <row r="66" spans="1:8" ht="14.4" x14ac:dyDescent="0.25">
      <c r="A66" s="26" t="s">
        <v>59</v>
      </c>
      <c r="B66" s="26" t="s">
        <v>1818</v>
      </c>
      <c r="C66" s="26" t="s">
        <v>1819</v>
      </c>
      <c r="D66" s="26" t="s">
        <v>1820</v>
      </c>
      <c r="E66" s="26" t="s">
        <v>1821</v>
      </c>
      <c r="F66" s="26" t="s">
        <v>1822</v>
      </c>
      <c r="G66" s="15" t="s">
        <v>71</v>
      </c>
      <c r="H66" s="15" t="s">
        <v>1817</v>
      </c>
    </row>
    <row r="67" spans="1:8" ht="14.4" x14ac:dyDescent="0.25">
      <c r="A67" s="26" t="s">
        <v>1823</v>
      </c>
      <c r="B67" s="26" t="s">
        <v>1824</v>
      </c>
      <c r="C67" s="26" t="s">
        <v>1825</v>
      </c>
      <c r="D67" s="26" t="s">
        <v>1810</v>
      </c>
      <c r="E67" s="26" t="s">
        <v>1826</v>
      </c>
      <c r="F67" s="26" t="s">
        <v>1827</v>
      </c>
      <c r="G67" t="s">
        <v>1828</v>
      </c>
      <c r="H67" s="15" t="s">
        <v>1829</v>
      </c>
    </row>
    <row r="68" spans="1:8" ht="14.4" x14ac:dyDescent="0.25">
      <c r="A68" s="26" t="s">
        <v>1830</v>
      </c>
      <c r="B68" s="26" t="s">
        <v>1831</v>
      </c>
      <c r="C68" s="26" t="s">
        <v>1832</v>
      </c>
      <c r="D68" s="26" t="s">
        <v>74</v>
      </c>
      <c r="E68" s="26" t="s">
        <v>1833</v>
      </c>
      <c r="F68" s="26" t="s">
        <v>1834</v>
      </c>
      <c r="G68" t="s">
        <v>1829</v>
      </c>
      <c r="H68" s="15" t="s">
        <v>1835</v>
      </c>
    </row>
    <row r="69" spans="1:8" ht="14.4" x14ac:dyDescent="0.25">
      <c r="A69" s="26" t="s">
        <v>1836</v>
      </c>
      <c r="B69" s="26" t="s">
        <v>1837</v>
      </c>
      <c r="C69" s="26" t="s">
        <v>1838</v>
      </c>
      <c r="D69" s="26" t="s">
        <v>1839</v>
      </c>
      <c r="E69" s="26" t="s">
        <v>1840</v>
      </c>
      <c r="F69" s="26" t="s">
        <v>1841</v>
      </c>
      <c r="G69" s="15" t="s">
        <v>1842</v>
      </c>
      <c r="H69" t="s">
        <v>1843</v>
      </c>
    </row>
    <row r="70" spans="1:8" ht="14.4" x14ac:dyDescent="0.25">
      <c r="A70" s="26" t="s">
        <v>1844</v>
      </c>
      <c r="B70" s="26" t="s">
        <v>1845</v>
      </c>
      <c r="C70" s="26" t="s">
        <v>1846</v>
      </c>
      <c r="D70" s="26" t="s">
        <v>1847</v>
      </c>
      <c r="E70" s="26" t="s">
        <v>1848</v>
      </c>
      <c r="F70" s="26" t="s">
        <v>1849</v>
      </c>
      <c r="G70" s="15" t="s">
        <v>1835</v>
      </c>
      <c r="H70" s="15" t="s">
        <v>1850</v>
      </c>
    </row>
    <row r="71" spans="1:8" ht="14.4" x14ac:dyDescent="0.25">
      <c r="A71" s="26" t="s">
        <v>1851</v>
      </c>
      <c r="B71" s="26" t="s">
        <v>1852</v>
      </c>
      <c r="C71" s="26" t="s">
        <v>1853</v>
      </c>
      <c r="D71" s="26" t="s">
        <v>1854</v>
      </c>
      <c r="E71" s="26" t="s">
        <v>1855</v>
      </c>
      <c r="F71" s="26" t="s">
        <v>1856</v>
      </c>
      <c r="G71" t="s">
        <v>1843</v>
      </c>
      <c r="H71" t="s">
        <v>1857</v>
      </c>
    </row>
    <row r="72" spans="1:8" ht="14.4" x14ac:dyDescent="0.25">
      <c r="A72" s="26" t="s">
        <v>1858</v>
      </c>
      <c r="B72" s="26" t="s">
        <v>1859</v>
      </c>
      <c r="C72" s="26" t="s">
        <v>1860</v>
      </c>
      <c r="D72" s="26" t="s">
        <v>1861</v>
      </c>
      <c r="E72" s="26" t="s">
        <v>1862</v>
      </c>
      <c r="F72" s="26" t="s">
        <v>1863</v>
      </c>
      <c r="G72" t="s">
        <v>1850</v>
      </c>
      <c r="H72" t="s">
        <v>1864</v>
      </c>
    </row>
    <row r="73" spans="1:8" ht="14.4" x14ac:dyDescent="0.25">
      <c r="A73" s="26" t="s">
        <v>1865</v>
      </c>
      <c r="B73" s="26" t="s">
        <v>1849</v>
      </c>
      <c r="C73" s="26" t="s">
        <v>66</v>
      </c>
      <c r="D73" s="26" t="s">
        <v>1866</v>
      </c>
      <c r="E73" s="26" t="s">
        <v>1867</v>
      </c>
      <c r="F73" s="26" t="s">
        <v>1868</v>
      </c>
      <c r="G73" t="s">
        <v>1857</v>
      </c>
      <c r="H73" t="s">
        <v>1869</v>
      </c>
    </row>
    <row r="74" spans="1:8" ht="14.4" x14ac:dyDescent="0.25">
      <c r="A74" s="26" t="s">
        <v>1870</v>
      </c>
      <c r="B74" s="26" t="s">
        <v>1871</v>
      </c>
      <c r="C74" s="26" t="s">
        <v>1872</v>
      </c>
      <c r="D74" s="26" t="s">
        <v>1857</v>
      </c>
      <c r="E74" s="26" t="s">
        <v>1873</v>
      </c>
      <c r="F74" s="26" t="s">
        <v>78</v>
      </c>
      <c r="G74" t="s">
        <v>1874</v>
      </c>
      <c r="H74" t="s">
        <v>1875</v>
      </c>
    </row>
    <row r="75" spans="1:8" ht="14.4" x14ac:dyDescent="0.25">
      <c r="A75" s="26" t="s">
        <v>1876</v>
      </c>
      <c r="B75" s="26" t="s">
        <v>64</v>
      </c>
      <c r="C75" s="26" t="s">
        <v>1877</v>
      </c>
      <c r="D75" s="26" t="s">
        <v>1878</v>
      </c>
      <c r="E75" s="26" t="s">
        <v>1879</v>
      </c>
      <c r="F75" s="26" t="s">
        <v>1880</v>
      </c>
      <c r="G75" t="s">
        <v>1881</v>
      </c>
    </row>
    <row r="76" spans="1:8" ht="14.4" x14ac:dyDescent="0.25">
      <c r="A76" s="26" t="s">
        <v>1882</v>
      </c>
      <c r="B76" s="26" t="s">
        <v>1883</v>
      </c>
      <c r="C76" s="26" t="s">
        <v>1884</v>
      </c>
      <c r="D76" s="26" t="s">
        <v>68</v>
      </c>
      <c r="E76" s="26" t="s">
        <v>1885</v>
      </c>
      <c r="F76" s="26"/>
      <c r="G76" s="15" t="s">
        <v>1886</v>
      </c>
    </row>
    <row r="77" spans="1:8" ht="14.4" x14ac:dyDescent="0.25">
      <c r="A77" s="26" t="s">
        <v>1887</v>
      </c>
      <c r="B77" s="26" t="s">
        <v>1888</v>
      </c>
      <c r="C77" s="26" t="s">
        <v>1889</v>
      </c>
      <c r="D77" s="26" t="s">
        <v>1890</v>
      </c>
      <c r="E77" s="26" t="s">
        <v>1891</v>
      </c>
      <c r="F77" s="22"/>
    </row>
    <row r="78" spans="1:8" ht="14.4" x14ac:dyDescent="0.25">
      <c r="A78" s="26" t="s">
        <v>1892</v>
      </c>
      <c r="B78" s="26" t="s">
        <v>1893</v>
      </c>
      <c r="C78" s="26" t="s">
        <v>1894</v>
      </c>
      <c r="D78" s="26" t="s">
        <v>1895</v>
      </c>
      <c r="E78" s="26" t="s">
        <v>1896</v>
      </c>
    </row>
    <row r="79" spans="1:8" ht="14.4" x14ac:dyDescent="0.25">
      <c r="A79" s="26" t="s">
        <v>1897</v>
      </c>
      <c r="B79" s="26" t="s">
        <v>1898</v>
      </c>
      <c r="D79" s="26" t="s">
        <v>1899</v>
      </c>
      <c r="E79" s="26" t="s">
        <v>1900</v>
      </c>
    </row>
    <row r="80" spans="1:8" ht="14.4" x14ac:dyDescent="0.25">
      <c r="A80" s="26" t="s">
        <v>1901</v>
      </c>
      <c r="D80" s="26" t="s">
        <v>1902</v>
      </c>
      <c r="E80" s="26" t="s">
        <v>1899</v>
      </c>
    </row>
    <row r="81" spans="1:6" ht="14.4" x14ac:dyDescent="0.25">
      <c r="A81" s="26" t="s">
        <v>1903</v>
      </c>
      <c r="D81" s="26" t="s">
        <v>1904</v>
      </c>
      <c r="E81" s="26" t="s">
        <v>1905</v>
      </c>
      <c r="F81" s="22"/>
    </row>
    <row r="82" spans="1:6" ht="14.4" x14ac:dyDescent="0.25">
      <c r="A82" s="26" t="s">
        <v>1906</v>
      </c>
      <c r="E82" s="26" t="s">
        <v>1907</v>
      </c>
      <c r="F82" s="22"/>
    </row>
    <row r="83" spans="1:6" ht="14.4" x14ac:dyDescent="0.25">
      <c r="A83" s="26" t="s">
        <v>1908</v>
      </c>
      <c r="E83" s="26" t="s">
        <v>76</v>
      </c>
    </row>
    <row r="84" spans="1:6" ht="14.4" x14ac:dyDescent="0.25">
      <c r="A84" s="26" t="s">
        <v>1909</v>
      </c>
      <c r="E84" s="26" t="s">
        <v>1902</v>
      </c>
    </row>
    <row r="85" spans="1:6" ht="14.4" x14ac:dyDescent="0.25">
      <c r="A85" s="26" t="s">
        <v>1910</v>
      </c>
    </row>
    <row r="86" spans="1:6" ht="14.4" x14ac:dyDescent="0.25">
      <c r="A86" s="26" t="s">
        <v>1911</v>
      </c>
    </row>
    <row r="87" spans="1:6" ht="14.4" x14ac:dyDescent="0.25">
      <c r="A87" s="26" t="s">
        <v>1912</v>
      </c>
    </row>
    <row r="88" spans="1:6" ht="14.4" x14ac:dyDescent="0.25">
      <c r="A88" s="26" t="s">
        <v>1913</v>
      </c>
    </row>
    <row r="89" spans="1:6" ht="14.4" x14ac:dyDescent="0.25">
      <c r="A89" s="26" t="s">
        <v>1914</v>
      </c>
    </row>
    <row r="92" spans="1:6" x14ac:dyDescent="0.2">
      <c r="A92" s="21" t="s">
        <v>1915</v>
      </c>
    </row>
    <row r="93" spans="1:6" x14ac:dyDescent="0.2">
      <c r="A93" s="15" t="s">
        <v>97</v>
      </c>
    </row>
    <row r="94" spans="1:6" ht="14.4" x14ac:dyDescent="0.25">
      <c r="A94" t="s">
        <v>173</v>
      </c>
    </row>
    <row r="95" spans="1:6" x14ac:dyDescent="0.2">
      <c r="A95" s="15" t="s">
        <v>129</v>
      </c>
    </row>
    <row r="96" spans="1:6" x14ac:dyDescent="0.2">
      <c r="A96" s="15" t="s">
        <v>148</v>
      </c>
    </row>
    <row r="97" spans="1:1" x14ac:dyDescent="0.2">
      <c r="A97" s="15" t="s">
        <v>145</v>
      </c>
    </row>
    <row r="98" spans="1:1" x14ac:dyDescent="0.2">
      <c r="A98" s="15" t="s">
        <v>100</v>
      </c>
    </row>
    <row r="99" spans="1:1" x14ac:dyDescent="0.2">
      <c r="A99" s="15" t="s">
        <v>136</v>
      </c>
    </row>
    <row r="100" spans="1:1" x14ac:dyDescent="0.2">
      <c r="A100" s="15" t="s">
        <v>141</v>
      </c>
    </row>
    <row r="101" spans="1:1" ht="14.4" x14ac:dyDescent="0.25">
      <c r="A101" t="s">
        <v>153</v>
      </c>
    </row>
    <row r="102" spans="1:1" x14ac:dyDescent="0.2">
      <c r="A102" s="15" t="s">
        <v>120</v>
      </c>
    </row>
    <row r="103" spans="1:1" ht="14.4" x14ac:dyDescent="0.25">
      <c r="A103" t="s">
        <v>176</v>
      </c>
    </row>
    <row r="104" spans="1:1" ht="14.4" x14ac:dyDescent="0.25">
      <c r="A104" t="s">
        <v>165</v>
      </c>
    </row>
    <row r="105" spans="1:1" ht="14.4" x14ac:dyDescent="0.25">
      <c r="A105" t="s">
        <v>163</v>
      </c>
    </row>
    <row r="106" spans="1:1" ht="14.4" x14ac:dyDescent="0.25">
      <c r="A106" t="s">
        <v>158</v>
      </c>
    </row>
    <row r="107" spans="1:1" x14ac:dyDescent="0.2">
      <c r="A107" s="15" t="s">
        <v>127</v>
      </c>
    </row>
    <row r="108" spans="1:1" x14ac:dyDescent="0.2">
      <c r="A108" s="15" t="s">
        <v>151</v>
      </c>
    </row>
    <row r="109" spans="1:1" ht="14.4" x14ac:dyDescent="0.25">
      <c r="A109" t="s">
        <v>168</v>
      </c>
    </row>
    <row r="110" spans="1:1" ht="14.4" x14ac:dyDescent="0.25">
      <c r="A110" t="s">
        <v>155</v>
      </c>
    </row>
    <row r="111" spans="1:1" x14ac:dyDescent="0.2">
      <c r="A111" s="15" t="s">
        <v>118</v>
      </c>
    </row>
    <row r="112" spans="1:1" x14ac:dyDescent="0.2">
      <c r="A112" s="15" t="s">
        <v>139</v>
      </c>
    </row>
    <row r="113" spans="1:1" ht="14.4" x14ac:dyDescent="0.25">
      <c r="A113" t="s">
        <v>170</v>
      </c>
    </row>
    <row r="114" spans="1:1" x14ac:dyDescent="0.2">
      <c r="A114" s="15" t="s">
        <v>92</v>
      </c>
    </row>
    <row r="115" spans="1:1" x14ac:dyDescent="0.2">
      <c r="A115" s="15" t="s">
        <v>133</v>
      </c>
    </row>
    <row r="116" spans="1:1" x14ac:dyDescent="0.2">
      <c r="A116" s="15" t="s">
        <v>104</v>
      </c>
    </row>
    <row r="117" spans="1:1" ht="14.4" x14ac:dyDescent="0.25">
      <c r="A117"/>
    </row>
    <row r="118" spans="1:1" ht="14.4" x14ac:dyDescent="0.25">
      <c r="A118"/>
    </row>
    <row r="119" spans="1:1" ht="14.4" x14ac:dyDescent="0.25">
      <c r="A119"/>
    </row>
    <row r="120" spans="1:1" ht="14.4" x14ac:dyDescent="0.25">
      <c r="A120"/>
    </row>
    <row r="121" spans="1:1" ht="14.4" x14ac:dyDescent="0.25">
      <c r="A121"/>
    </row>
    <row r="122" spans="1:1" ht="14.4" x14ac:dyDescent="0.25">
      <c r="A122"/>
    </row>
    <row r="123" spans="1:1" ht="14.4" x14ac:dyDescent="0.25">
      <c r="A123"/>
    </row>
    <row r="124" spans="1:1" ht="14.4" x14ac:dyDescent="0.25">
      <c r="A124"/>
    </row>
    <row r="125" spans="1:1" ht="14.4" x14ac:dyDescent="0.25">
      <c r="A125"/>
    </row>
    <row r="126" spans="1:1" ht="14.4" x14ac:dyDescent="0.25">
      <c r="A126"/>
    </row>
  </sheetData>
  <autoFilter ref="A92:A115" xr:uid="{B2DA74BB-A3CE-41F8-9DB0-4953CA2FC367}">
    <sortState xmlns:xlrd2="http://schemas.microsoft.com/office/spreadsheetml/2017/richdata2" ref="A93:A115">
      <sortCondition ref="A92:A115"/>
    </sortState>
  </autoFilter>
  <sortState xmlns:xlrd2="http://schemas.microsoft.com/office/spreadsheetml/2017/richdata2" ref="A64:A78">
    <sortCondition ref="A64:A78"/>
  </sortState>
  <pageMargins left="0.7" right="0.7" top="0.75" bottom="0.75" header="0.3" footer="0.3"/>
  <pageSetup paperSize="9"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3BA9E0-DE68-45A1-AA54-ADA9696E4FA0}">
  <sheetPr codeName="Sheet10">
    <tabColor rgb="FFFFC000"/>
  </sheetPr>
  <dimension ref="A1:C289"/>
  <sheetViews>
    <sheetView topLeftCell="A172" zoomScale="89" zoomScaleNormal="89" workbookViewId="0">
      <selection activeCell="A11" sqref="A11"/>
    </sheetView>
  </sheetViews>
  <sheetFormatPr defaultColWidth="9" defaultRowHeight="17.55" x14ac:dyDescent="0.3"/>
  <cols>
    <col min="1" max="1" width="74" style="24" bestFit="1" customWidth="1"/>
    <col min="2" max="2" width="9.19921875" style="24"/>
    <col min="3" max="3" width="74" style="27" bestFit="1" customWidth="1"/>
  </cols>
  <sheetData>
    <row r="1" spans="1:3" x14ac:dyDescent="0.3">
      <c r="A1" s="23" t="s">
        <v>1916</v>
      </c>
      <c r="C1" s="25" t="s">
        <v>1917</v>
      </c>
    </row>
    <row r="2" spans="1:3" x14ac:dyDescent="0.3">
      <c r="A2" t="s">
        <v>150</v>
      </c>
      <c r="C2" s="27" t="str" cm="1">
        <f t="array" ref="C2:C191">_xlfn.UNIQUE(_xlfn._xlws.FILTER(A2:A192,ISNUMBER(SEARCH('1. Basic info'!C5,A2:A192))))</f>
        <v>ตลาดหลักทรัพย์แห่งประเทศไทย</v>
      </c>
    </row>
    <row r="3" spans="1:3" x14ac:dyDescent="0.3">
      <c r="A3" t="s">
        <v>1918</v>
      </c>
      <c r="C3" s="27" t="str">
        <v>ธนาคารกรุงเทพ จำกัด (มหาชน)</v>
      </c>
    </row>
    <row r="4" spans="1:3" x14ac:dyDescent="0.3">
      <c r="A4" t="s">
        <v>1919</v>
      </c>
      <c r="C4" s="27" t="str">
        <v>ธนาคารกรุงไทย จำกัด (มหาชน)</v>
      </c>
    </row>
    <row r="5" spans="1:3" x14ac:dyDescent="0.3">
      <c r="A5" t="s">
        <v>1920</v>
      </c>
      <c r="C5" s="27" t="str">
        <v>ธนาคารกรุงศรีอยุธยา จำกัด (มหาชน)</v>
      </c>
    </row>
    <row r="6" spans="1:3" x14ac:dyDescent="0.3">
      <c r="A6" t="s">
        <v>1921</v>
      </c>
      <c r="C6" s="27" t="str">
        <v>ธนาคารกสิกรไทย จำกัด (มหาชน)</v>
      </c>
    </row>
    <row r="7" spans="1:3" x14ac:dyDescent="0.3">
      <c r="A7" t="s">
        <v>1922</v>
      </c>
      <c r="C7" s="27" t="str">
        <v>ธนาคารเกียรตินาคินภัทร จำกัด (มหาชน)</v>
      </c>
    </row>
    <row r="8" spans="1:3" x14ac:dyDescent="0.3">
      <c r="A8" t="s">
        <v>1923</v>
      </c>
      <c r="C8" s="27" t="str">
        <v>ธนาคารเจพีมอร์แกน เชส สาขากรุงเทพฯ</v>
      </c>
    </row>
    <row r="9" spans="1:3" x14ac:dyDescent="0.3">
      <c r="A9" t="s">
        <v>1924</v>
      </c>
      <c r="C9" s="27" t="str">
        <v>ธนาคารซิตี้แบงก์ เอ็น. เอ.</v>
      </c>
    </row>
    <row r="10" spans="1:3" x14ac:dyDescent="0.3">
      <c r="A10" t="s">
        <v>1925</v>
      </c>
      <c r="C10" s="27" t="str">
        <v>ธนาคารซีไอเอ็มบี ไทย จำกัด (มหาชน)</v>
      </c>
    </row>
    <row r="11" spans="1:3" x14ac:dyDescent="0.3">
      <c r="A11" t="s">
        <v>1926</v>
      </c>
      <c r="C11" s="27" t="str">
        <v>ธนาคารดอยซ์แบงก์</v>
      </c>
    </row>
    <row r="12" spans="1:3" x14ac:dyDescent="0.3">
      <c r="A12" t="s">
        <v>1927</v>
      </c>
      <c r="C12" s="27" t="str">
        <v>ธนาคารทหารไทยธนชาต จำกัด (มหาชน)</v>
      </c>
    </row>
    <row r="13" spans="1:3" x14ac:dyDescent="0.3">
      <c r="A13" t="s">
        <v>1928</v>
      </c>
      <c r="C13" s="27" t="str">
        <v>ธนาคารทิสโก้ จำกัด (มหาชน)</v>
      </c>
    </row>
    <row r="14" spans="1:3" x14ac:dyDescent="0.3">
      <c r="A14" t="s">
        <v>1929</v>
      </c>
      <c r="C14" s="27" t="str">
        <v>ธนาคารไทยเครดิต จำกัด (มหาชน)</v>
      </c>
    </row>
    <row r="15" spans="1:3" x14ac:dyDescent="0.3">
      <c r="A15" t="s">
        <v>1930</v>
      </c>
      <c r="C15" s="27" t="str">
        <v>ธนาคารไทยพาณิชย์ จำกัด (มหาชน)</v>
      </c>
    </row>
    <row r="16" spans="1:3" x14ac:dyDescent="0.3">
      <c r="A16" t="s">
        <v>1931</v>
      </c>
      <c r="C16" s="27" t="str">
        <v>ธนาคารบีเอ็นพี พารีบาส์ สาขากรุงเทพฯ</v>
      </c>
    </row>
    <row r="17" spans="1:3" x14ac:dyDescent="0.3">
      <c r="A17" t="s">
        <v>1932</v>
      </c>
      <c r="C17" s="27" t="str">
        <v>ธนาคารยูโอบี จำกัด (มหาชน)</v>
      </c>
    </row>
    <row r="18" spans="1:3" x14ac:dyDescent="0.3">
      <c r="A18" t="s">
        <v>1933</v>
      </c>
      <c r="C18" s="27" t="str">
        <v>ธนาคารแลนด์ แอนด์ เฮ้าส์ จำกัด (มหาชน)</v>
      </c>
    </row>
    <row r="19" spans="1:3" x14ac:dyDescent="0.3">
      <c r="A19" t="s">
        <v>1934</v>
      </c>
      <c r="C19" s="27" t="str">
        <v>ธนาคารสแตนดาร์ดชาร์เตอร์ด (ไทย) จำกัด (มหาชน)</v>
      </c>
    </row>
    <row r="20" spans="1:3" x14ac:dyDescent="0.3">
      <c r="A20" t="s">
        <v>1935</v>
      </c>
      <c r="C20" s="27" t="str">
        <v>ธนาคารแห่งอเมริกา เนชั่นแนล แอสโซซิเอชั่น</v>
      </c>
    </row>
    <row r="21" spans="1:3" x14ac:dyDescent="0.3">
      <c r="A21" t="s">
        <v>1936</v>
      </c>
      <c r="C21" s="27" t="str">
        <v>ธนาคารออมสิน</v>
      </c>
    </row>
    <row r="22" spans="1:3" x14ac:dyDescent="0.3">
      <c r="A22" t="s">
        <v>1937</v>
      </c>
      <c r="C22" s="27" t="str">
        <v>ธนาคารไอซีบีซี (ไทย) จำกัด (มหาชน)</v>
      </c>
    </row>
    <row r="23" spans="1:3" x14ac:dyDescent="0.3">
      <c r="A23" t="s">
        <v>1938</v>
      </c>
      <c r="C23" s="27" t="str">
        <v>ธนาคารฮ่องกงและเซี่ยงไฮ้แบงกิ้งคอร์ปอเรชั่น จำกัด</v>
      </c>
    </row>
    <row r="24" spans="1:3" x14ac:dyDescent="0.3">
      <c r="A24" t="s">
        <v>1939</v>
      </c>
      <c r="C24" s="27" t="str">
        <v>บริษัท 1109 พรอส์เปอร์ จำกัด</v>
      </c>
    </row>
    <row r="25" spans="1:3" x14ac:dyDescent="0.3">
      <c r="A25" t="s">
        <v>1940</v>
      </c>
      <c r="C25" s="27" t="str">
        <v>บริษัท กรุงเทพประกันชีวิต จำกัด (มหาชน)</v>
      </c>
    </row>
    <row r="26" spans="1:3" x14ac:dyDescent="0.3">
      <c r="A26" t="s">
        <v>1941</v>
      </c>
      <c r="C26" s="27" t="str">
        <v>บริษัท กรุงไทย-แอกซ่า ประกันชีวิต จำกัด (มหาชน)</v>
      </c>
    </row>
    <row r="27" spans="1:3" x14ac:dyDescent="0.3">
      <c r="A27" t="s">
        <v>1942</v>
      </c>
      <c r="C27" s="27" t="str">
        <v>บริษัท กัลฟ์ ไบแนนซ์ จำกัด</v>
      </c>
    </row>
    <row r="28" spans="1:3" x14ac:dyDescent="0.3">
      <c r="A28" t="s">
        <v>1943</v>
      </c>
      <c r="C28" s="27" t="str">
        <v>บริษัท คริปโตมายด์ แอดไวเซอรี่ จำกัด</v>
      </c>
    </row>
    <row r="29" spans="1:3" x14ac:dyDescent="0.3">
      <c r="A29" t="s">
        <v>1944</v>
      </c>
      <c r="C29" s="27" t="str">
        <v>บริษัท คอยน์ดี จำกัด</v>
      </c>
    </row>
    <row r="30" spans="1:3" x14ac:dyDescent="0.3">
      <c r="A30" t="s">
        <v>1945</v>
      </c>
      <c r="C30" s="27" t="str">
        <v>บริษัท คอยส์ ทีเอช จำกัด</v>
      </c>
    </row>
    <row r="31" spans="1:3" x14ac:dyDescent="0.3">
      <c r="A31" t="s">
        <v>1946</v>
      </c>
      <c r="C31" s="27" t="str">
        <v>บริษัท คิวบิกซ์ ดิจิทัล แอสเสท จำกัด</v>
      </c>
    </row>
    <row r="32" spans="1:3" x14ac:dyDescent="0.3">
      <c r="A32" t="s">
        <v>1947</v>
      </c>
      <c r="C32" s="27" t="str">
        <v>บริษัท เคดับบลิวไอ ประกันชีวิต จำกัด (มหาชน)</v>
      </c>
    </row>
    <row r="33" spans="1:3" x14ac:dyDescent="0.3">
      <c r="A33" t="s">
        <v>1948</v>
      </c>
      <c r="C33" s="27" t="str">
        <v>บริษัท จีเอ็มโอ-แซด.คอม คริปโทนอมิคซ์ (ประเทศไทย) จำกัด</v>
      </c>
    </row>
    <row r="34" spans="1:3" x14ac:dyDescent="0.3">
      <c r="A34" t="s">
        <v>1949</v>
      </c>
      <c r="C34" s="27" t="str">
        <v>บริษัท เจนเนอราลี่ ประกันชีวิต (ไทยแลนด์) จำกัด (มหาชน)</v>
      </c>
    </row>
    <row r="35" spans="1:3" x14ac:dyDescent="0.3">
      <c r="A35" t="s">
        <v>1950</v>
      </c>
      <c r="C35" s="27" t="str">
        <v>บริษัท ซาโตชิ จำกัด</v>
      </c>
    </row>
    <row r="36" spans="1:3" x14ac:dyDescent="0.3">
      <c r="A36" t="s">
        <v>1951</v>
      </c>
      <c r="C36" s="27" t="str">
        <v>บริษัท ซิปเม็กซ์ จำกัด</v>
      </c>
    </row>
    <row r="37" spans="1:3" x14ac:dyDescent="0.3">
      <c r="A37" t="s">
        <v>1952</v>
      </c>
      <c r="C37" s="27" t="str">
        <v>บริษัท ดรีมเมคเกอร์ อิควิตี้ คราวด์ฟันดิ้ง จำกัด</v>
      </c>
    </row>
    <row r="38" spans="1:3" x14ac:dyDescent="0.3">
      <c r="A38" t="s">
        <v>1953</v>
      </c>
      <c r="C38" s="27" t="str">
        <v>บริษัท ดิจิทัล แอคเซส แพลตฟอร์ม จำกัด</v>
      </c>
    </row>
    <row r="39" spans="1:3" x14ac:dyDescent="0.3">
      <c r="A39" t="s">
        <v>1954</v>
      </c>
      <c r="C39" s="27" t="str">
        <v>บริษัท ตลาดสัญญาซื้อขายล่วงหน้า (ประเทศไทย) จำกัด (มหาชน)</v>
      </c>
    </row>
    <row r="40" spans="1:3" x14ac:dyDescent="0.3">
      <c r="A40" t="s">
        <v>1955</v>
      </c>
      <c r="C40" s="27" t="str">
        <v>บริษัท โตเกียวมารีนประกันชีวิต (ประเทศไทย) จำกัด (มหาชน)</v>
      </c>
    </row>
    <row r="41" spans="1:3" x14ac:dyDescent="0.3">
      <c r="A41" t="s">
        <v>1956</v>
      </c>
      <c r="C41" s="27" t="str">
        <v>บริษัท ที-บ็อกซ์ (ไทยแลนด์) จำกัด</v>
      </c>
    </row>
    <row r="42" spans="1:3" x14ac:dyDescent="0.3">
      <c r="A42" t="s">
        <v>1957</v>
      </c>
      <c r="C42" s="27" t="str">
        <v>บริษัท โทเคน เอกซ์ จำกัด</v>
      </c>
    </row>
    <row r="43" spans="1:3" x14ac:dyDescent="0.3">
      <c r="A43" t="s">
        <v>1958</v>
      </c>
      <c r="C43" s="27" t="str">
        <v>บริษัท ไทยประกันชีวิต จำกัด (มหาชน)</v>
      </c>
    </row>
    <row r="44" spans="1:3" x14ac:dyDescent="0.3">
      <c r="A44" t="s">
        <v>1959</v>
      </c>
      <c r="C44" s="27" t="str">
        <v>บริษัท ไทยสมุทรประกันชีวิต จำกัด (มหาชน)</v>
      </c>
    </row>
    <row r="45" spans="1:3" x14ac:dyDescent="0.3">
      <c r="A45" t="s">
        <v>1960</v>
      </c>
      <c r="C45" s="27" t="str">
        <v>บริษัท บิทคับ ออนไลน์ จำกัด</v>
      </c>
    </row>
    <row r="46" spans="1:3" x14ac:dyDescent="0.3">
      <c r="A46" t="s">
        <v>1961</v>
      </c>
      <c r="C46" s="27" t="str">
        <v>บริษัท บิทาซซ่า จำกัด</v>
      </c>
    </row>
    <row r="47" spans="1:3" x14ac:dyDescent="0.3">
      <c r="A47" t="s">
        <v>1962</v>
      </c>
      <c r="C47" s="27" t="str">
        <v>บริษัท บิเธิร์บ จำกัด</v>
      </c>
    </row>
    <row r="48" spans="1:3" x14ac:dyDescent="0.3">
      <c r="A48" t="s">
        <v>1963</v>
      </c>
      <c r="C48" s="27" t="str">
        <v>บริษัท พรูเด็นเชียล ประกันชีวิต (ประเทศไทย) จำกัด (มหาชน)</v>
      </c>
    </row>
    <row r="49" spans="1:3" x14ac:dyDescent="0.3">
      <c r="A49" t="s">
        <v>1964</v>
      </c>
      <c r="C49" s="27" t="str">
        <v>บริษัท เพียร์ พาวเวอร์ แพลตฟอร์ม จำกัด</v>
      </c>
    </row>
    <row r="50" spans="1:3" x14ac:dyDescent="0.3">
      <c r="A50" t="s">
        <v>1965</v>
      </c>
      <c r="C50" s="27" t="str">
        <v>บริษัท ฟินเน็ต อินโนเวชั่น เน็ตเวิร์ค จำกัด</v>
      </c>
    </row>
    <row r="51" spans="1:3" x14ac:dyDescent="0.3">
      <c r="A51" s="26" t="s">
        <v>1966</v>
      </c>
      <c r="C51" s="27" t="str">
        <v>บริษัท ฟินันเซีย ดิจิทัล แอสเซท จำกัด</v>
      </c>
    </row>
    <row r="52" spans="1:3" x14ac:dyDescent="0.3">
      <c r="A52" t="s">
        <v>1967</v>
      </c>
      <c r="C52" s="27" t="str">
        <v>บริษัท ฟิลลิปประกันชีวิต จำกัด (มหาชน)</v>
      </c>
    </row>
    <row r="53" spans="1:3" x14ac:dyDescent="0.3">
      <c r="A53" t="s">
        <v>1968</v>
      </c>
      <c r="C53" s="27" t="str">
        <v>บริษัท แฟรคชั่น (ประเทศไทย) จำกัด</v>
      </c>
    </row>
    <row r="54" spans="1:3" x14ac:dyDescent="0.3">
      <c r="A54" t="s">
        <v>1969</v>
      </c>
      <c r="C54" s="27" t="str">
        <v>บริษัท เมอร์เคิล แคปปิตอล จำกัด</v>
      </c>
    </row>
    <row r="55" spans="1:3" x14ac:dyDescent="0.3">
      <c r="A55" t="s">
        <v>1970</v>
      </c>
      <c r="C55" s="27" t="str">
        <v>บริษัท เมืองไทยประกันชีวิต จำกัด (มหาชน)</v>
      </c>
    </row>
    <row r="56" spans="1:3" x14ac:dyDescent="0.3">
      <c r="A56" t="s">
        <v>1971</v>
      </c>
      <c r="C56" s="27" t="str">
        <v>บริษัท แมกซ์บิท ดิจิทัล แอสเซท จำกัด</v>
      </c>
    </row>
    <row r="57" spans="1:3" x14ac:dyDescent="0.3">
      <c r="A57" t="s">
        <v>1972</v>
      </c>
      <c r="C57" s="27" t="str">
        <v>บริษัท รวมใจไทยสู้ จำกัด</v>
      </c>
    </row>
    <row r="58" spans="1:3" x14ac:dyDescent="0.3">
      <c r="A58" s="26" t="s">
        <v>1973</v>
      </c>
      <c r="C58" s="27" t="str">
        <v>บริษัท รักขา ดิจิทัล จำกัด</v>
      </c>
    </row>
    <row r="59" spans="1:3" x14ac:dyDescent="0.3">
      <c r="A59" t="s">
        <v>1974</v>
      </c>
      <c r="C59" s="27" t="str">
        <v>บริษัท แรบบิท ประกันชีวิต จำกัด (มหาชน)</v>
      </c>
    </row>
    <row r="60" spans="1:3" x14ac:dyDescent="0.3">
      <c r="A60" t="s">
        <v>1975</v>
      </c>
      <c r="C60" s="27" t="str">
        <v>บริษัท ลองรูท (ประเทศไทย) จำกัด</v>
      </c>
    </row>
    <row r="61" spans="1:3" x14ac:dyDescent="0.3">
      <c r="A61" t="s">
        <v>1976</v>
      </c>
      <c r="C61" s="27" t="str">
        <v>บริษัท วายแอลจี บูลเลี่ยน แอนด์ ฟิวเจอร์ส จำกัด</v>
      </c>
    </row>
    <row r="62" spans="1:3" x14ac:dyDescent="0.3">
      <c r="A62" s="26" t="s">
        <v>1977</v>
      </c>
      <c r="C62" s="27" t="str">
        <v>บริษัท วาฬ เอ็กเชนจ์ จำกัด</v>
      </c>
    </row>
    <row r="63" spans="1:3" x14ac:dyDescent="0.3">
      <c r="A63" t="s">
        <v>1978</v>
      </c>
      <c r="C63" s="27" t="str">
        <v>บริษัท ศูนย์ซื้อขายสินทรัพย์ดิจิทัลไทย จำกัด</v>
      </c>
    </row>
    <row r="64" spans="1:3" x14ac:dyDescent="0.3">
      <c r="A64" t="s">
        <v>1979</v>
      </c>
      <c r="C64" s="27" t="str">
        <v>บริษัท ศูนย์รับฝากหลักทรัพย์ (ประเทศไทย) จำกัด</v>
      </c>
    </row>
    <row r="65" spans="1:3" x14ac:dyDescent="0.3">
      <c r="A65" t="s">
        <v>1980</v>
      </c>
      <c r="C65" s="27" t="str">
        <v>บริษัท สยาม วาลิดัส แคปปิตอล จำกัด</v>
      </c>
    </row>
    <row r="66" spans="1:3" x14ac:dyDescent="0.3">
      <c r="A66" t="s">
        <v>1981</v>
      </c>
      <c r="C66" s="27" t="str">
        <v>บริษัท สำนักหักบัญชี (ประเทศไทย) จำกัด</v>
      </c>
    </row>
    <row r="67" spans="1:3" x14ac:dyDescent="0.3">
      <c r="A67" t="s">
        <v>1982</v>
      </c>
      <c r="C67" s="27" t="str">
        <v>บริษัท หลักทรัพย์ กรุงไทย เอ็กซ์สปริง จำกัด</v>
      </c>
    </row>
    <row r="68" spans="1:3" x14ac:dyDescent="0.3">
      <c r="A68" t="s">
        <v>1983</v>
      </c>
      <c r="C68" s="27" t="str">
        <v>บริษัท หลักทรัพย์ กรุงศรี พัฒนสิน จำกัด (มหาชน)</v>
      </c>
    </row>
    <row r="69" spans="1:3" x14ac:dyDescent="0.3">
      <c r="A69" t="s">
        <v>1984</v>
      </c>
      <c r="C69" s="27" t="str">
        <v>บริษัท หลักทรัพย์ กสิกรไทย จำกัด (มหาชน)</v>
      </c>
    </row>
    <row r="70" spans="1:3" x14ac:dyDescent="0.3">
      <c r="A70" t="s">
        <v>1985</v>
      </c>
      <c r="C70" s="27" t="str">
        <v>บริษัท หลักทรัพย์ เกียรตินาคินภัทร จำกัด (มหาชน)</v>
      </c>
    </row>
    <row r="71" spans="1:3" x14ac:dyDescent="0.3">
      <c r="A71" t="s">
        <v>1986</v>
      </c>
      <c r="C71" s="27" t="str">
        <v>บริษัท หลักทรัพย์ เคเคพี ไดม์ จำกัด</v>
      </c>
    </row>
    <row r="72" spans="1:3" x14ac:dyDescent="0.3">
      <c r="A72" t="s">
        <v>1987</v>
      </c>
      <c r="C72" s="27" t="str">
        <v>บริษัท หลักทรัพย์ เคพีเอ็ม จำกัด</v>
      </c>
    </row>
    <row r="73" spans="1:3" x14ac:dyDescent="0.3">
      <c r="A73" t="s">
        <v>1988</v>
      </c>
      <c r="C73" s="27" t="str">
        <v>บริษัท หลักทรัพย์ ดาโอ (ประเทศไทย) จำกัด (มหาชน)</v>
      </c>
    </row>
    <row r="74" spans="1:3" x14ac:dyDescent="0.3">
      <c r="A74" t="s">
        <v>1989</v>
      </c>
      <c r="C74" s="27" t="str">
        <v>บริษัท หลักทรัพย์ ไทยพาณิชย์ จูเลียส แบร์ จำกัด</v>
      </c>
    </row>
    <row r="75" spans="1:3" x14ac:dyDescent="0.3">
      <c r="A75" t="s">
        <v>1990</v>
      </c>
      <c r="C75" s="27" t="str">
        <v>บริษัท หลักทรัพย์ บลูเบลล์ จำกัด</v>
      </c>
    </row>
    <row r="76" spans="1:3" x14ac:dyDescent="0.3">
      <c r="A76" t="s">
        <v>1991</v>
      </c>
      <c r="C76" s="27" t="str">
        <v>บริษัท หลักทรัพย์ ไพน์ เวลท์ โซลูชั่น จำกัด</v>
      </c>
    </row>
    <row r="77" spans="1:3" x14ac:dyDescent="0.3">
      <c r="A77" t="s">
        <v>1992</v>
      </c>
      <c r="C77" s="27" t="str">
        <v>บริษัท หลักทรัพย์ ลิเบอเรเตอร์ จำกัด</v>
      </c>
    </row>
    <row r="78" spans="1:3" x14ac:dyDescent="0.3">
      <c r="A78" t="s">
        <v>1993</v>
      </c>
      <c r="C78" s="27" t="str">
        <v>บริษัท หลักทรัพย์ แลนด์ แอนด์ เฮ้าส์ จำกัด (มหาชน)</v>
      </c>
    </row>
    <row r="79" spans="1:3" x14ac:dyDescent="0.3">
      <c r="A79" t="s">
        <v>1994</v>
      </c>
      <c r="C79" s="27" t="str">
        <v>บริษัท หลักทรัพย์ เว็ลธ์ เมจิก จำกัด</v>
      </c>
    </row>
    <row r="80" spans="1:3" x14ac:dyDescent="0.3">
      <c r="A80" t="s">
        <v>1995</v>
      </c>
      <c r="C80" s="27" t="str">
        <v>บริษัท หลักทรัพย์ สยามเวลธ์ จำกัด</v>
      </c>
    </row>
    <row r="81" spans="1:3" x14ac:dyDescent="0.3">
      <c r="A81" t="s">
        <v>1996</v>
      </c>
      <c r="C81" s="27" t="str">
        <v>บริษัท หลักทรัพย์ อินโนเวสท์ เอกซ์ จำกัด</v>
      </c>
    </row>
    <row r="82" spans="1:3" x14ac:dyDescent="0.3">
      <c r="A82" t="s">
        <v>1997</v>
      </c>
      <c r="C82" s="27" t="str">
        <v>บริษัท หลักทรัพย์ เอเซีย พลัส จำกัด</v>
      </c>
    </row>
    <row r="83" spans="1:3" x14ac:dyDescent="0.3">
      <c r="A83" t="s">
        <v>1998</v>
      </c>
      <c r="C83" s="27" t="str">
        <v>บริษัท หลักทรัพย์ เอเอสแอล จำกัด</v>
      </c>
    </row>
    <row r="84" spans="1:3" x14ac:dyDescent="0.3">
      <c r="A84" t="s">
        <v>1999</v>
      </c>
      <c r="C84" s="27" t="str">
        <v>บริษัท หลักทรัพย์ แอลจีที (ประเทศไทย) จำกัด</v>
      </c>
    </row>
    <row r="85" spans="1:3" x14ac:dyDescent="0.3">
      <c r="A85" t="s">
        <v>2000</v>
      </c>
      <c r="C85" s="27" t="str">
        <v>บริษัท หลักทรัพย์กรุงศรี จำกัด (มหาชน)</v>
      </c>
    </row>
    <row r="86" spans="1:3" x14ac:dyDescent="0.3">
      <c r="A86" t="s">
        <v>2001</v>
      </c>
      <c r="C86" s="27" t="str">
        <v>บริษัท หลักทรัพย์โกลเบล็ก จำกัด</v>
      </c>
    </row>
    <row r="87" spans="1:3" x14ac:dyDescent="0.3">
      <c r="A87" t="s">
        <v>2002</v>
      </c>
      <c r="C87" s="27" t="str">
        <v>บริษัท หลักทรัพย์คิงส์ฟอร์ด จำกัด (มหาชน)</v>
      </c>
    </row>
    <row r="88" spans="1:3" x14ac:dyDescent="0.3">
      <c r="A88" t="s">
        <v>2003</v>
      </c>
      <c r="C88" s="27" t="str">
        <v>บริษัท หลักทรัพย์เคจีไอ (ประเทศไทย) จำกัด (มหาชน)</v>
      </c>
    </row>
    <row r="89" spans="1:3" x14ac:dyDescent="0.3">
      <c r="A89" t="s">
        <v>2004</v>
      </c>
      <c r="C89" s="27" t="str">
        <v>บริษัท หลักทรัพย์จัดการกองทุน วรรณ จำกัด</v>
      </c>
    </row>
    <row r="90" spans="1:3" x14ac:dyDescent="0.3">
      <c r="A90" t="s">
        <v>2005</v>
      </c>
      <c r="C90" s="27" t="str">
        <v>บริษัท หลักทรัพย์จัดการกองทุนกรุงไทย จำกัด (มหาชน)</v>
      </c>
    </row>
    <row r="91" spans="1:3" x14ac:dyDescent="0.3">
      <c r="A91" t="s">
        <v>2006</v>
      </c>
      <c r="C91" s="27" t="str">
        <v>บริษัท หลักทรัพย์จัดการกองทุนกรุงศรี จำกัด</v>
      </c>
    </row>
    <row r="92" spans="1:3" x14ac:dyDescent="0.3">
      <c r="A92" t="s">
        <v>2007</v>
      </c>
      <c r="C92" s="27" t="str">
        <v>บริษัท หลักทรัพย์จัดการกองทุนกสิกรไทย จำกัด</v>
      </c>
    </row>
    <row r="93" spans="1:3" x14ac:dyDescent="0.3">
      <c r="A93" t="s">
        <v>2008</v>
      </c>
      <c r="C93" s="27" t="str">
        <v>บริษัท หลักทรัพย์จัดการกองทุนการ์เดียนแคปิตอล จำกัด</v>
      </c>
    </row>
    <row r="94" spans="1:3" x14ac:dyDescent="0.3">
      <c r="A94" t="s">
        <v>2009</v>
      </c>
      <c r="C94" s="27" t="str">
        <v>บริษัท หลักทรัพย์จัดการกองทุนเกียรตินาคินภัทร จำกัด</v>
      </c>
    </row>
    <row r="95" spans="1:3" x14ac:dyDescent="0.3">
      <c r="A95" t="s">
        <v>2010</v>
      </c>
      <c r="C95" s="27" t="str">
        <v>บริษัท หลักทรัพย์จัดการกองทุนเคดับบลิวไอ จำกัด</v>
      </c>
    </row>
    <row r="96" spans="1:3" x14ac:dyDescent="0.3">
      <c r="A96" t="s">
        <v>2011</v>
      </c>
      <c r="C96" s="27" t="str">
        <v>บริษัท หลักทรัพย์จัดการกองทุนจิตตะ เวลธ์ จำกัด</v>
      </c>
    </row>
    <row r="97" spans="1:3" x14ac:dyDescent="0.3">
      <c r="A97" t="s">
        <v>2012</v>
      </c>
      <c r="C97" s="27" t="str">
        <v>บริษัท หลักทรัพย์จัดการกองทุนซาวาคามิ (ประเทศไทย) จำกัด</v>
      </c>
    </row>
    <row r="98" spans="1:3" x14ac:dyDescent="0.3">
      <c r="A98" t="s">
        <v>2013</v>
      </c>
      <c r="C98" s="27" t="str">
        <v>บริษัท หลักทรัพย์จัดการกองทุนซีแอล จำกัด</v>
      </c>
    </row>
    <row r="99" spans="1:3" x14ac:dyDescent="0.3">
      <c r="A99" t="s">
        <v>2014</v>
      </c>
      <c r="C99" s="27" t="str">
        <v>บริษัท หลักทรัพย์จัดการกองทุนดาโอ จำกัด</v>
      </c>
    </row>
    <row r="100" spans="1:3" x14ac:dyDescent="0.3">
      <c r="A100" t="s">
        <v>2015</v>
      </c>
      <c r="C100" s="27" t="str">
        <v>บริษัท หลักทรัพย์จัดการกองทุนเดนาลี เพรสทีจ จำกัด</v>
      </c>
    </row>
    <row r="101" spans="1:3" x14ac:dyDescent="0.3">
      <c r="A101" t="s">
        <v>2016</v>
      </c>
      <c r="C101" s="27" t="str">
        <v>บริษัท หลักทรัพย์จัดการกองทุนทาลิส จำกัด</v>
      </c>
    </row>
    <row r="102" spans="1:3" x14ac:dyDescent="0.3">
      <c r="A102" t="s">
        <v>2017</v>
      </c>
      <c r="C102" s="27" t="str">
        <v>บริษัท หลักทรัพย์จัดการกองทุนทิสโก้ จำกัด</v>
      </c>
    </row>
    <row r="103" spans="1:3" x14ac:dyDescent="0.3">
      <c r="A103" t="s">
        <v>2018</v>
      </c>
      <c r="C103" s="27" t="str">
        <v>บริษัท หลักทรัพย์จัดการกองทุนไทยพาณิชย์ จำกัด</v>
      </c>
    </row>
    <row r="104" spans="1:3" x14ac:dyDescent="0.3">
      <c r="A104" t="s">
        <v>2019</v>
      </c>
      <c r="C104" s="27" t="str">
        <v>บริษัท หลักทรัพย์จัดการกองทุนบางกอกแคปปิตอล จำกัด</v>
      </c>
    </row>
    <row r="105" spans="1:3" x14ac:dyDescent="0.3">
      <c r="A105" t="s">
        <v>2020</v>
      </c>
      <c r="C105" s="27" t="str">
        <v>บริษัท หลักทรัพย์จัดการกองทุนพรินซิเพิล จำกัด</v>
      </c>
    </row>
    <row r="106" spans="1:3" x14ac:dyDescent="0.3">
      <c r="A106" s="26" t="s">
        <v>2021</v>
      </c>
      <c r="C106" s="27" t="str">
        <v>บริษัท หลักทรัพย์จัดการกองทุนเมธา จำกัด</v>
      </c>
    </row>
    <row r="107" spans="1:3" x14ac:dyDescent="0.3">
      <c r="A107" t="s">
        <v>2022</v>
      </c>
      <c r="C107" s="27" t="str">
        <v>บริษัท หลักทรัพย์จัดการกองทุนเมอร์ชั่น พาร์ทเนอร์ จำกัด</v>
      </c>
    </row>
    <row r="108" spans="1:3" x14ac:dyDescent="0.3">
      <c r="A108" t="s">
        <v>2023</v>
      </c>
      <c r="C108" s="27" t="str">
        <v>บริษัท หลักทรัพย์จัดการกองทุนยูโอบี (ประเทศไทย) จำกัด</v>
      </c>
    </row>
    <row r="109" spans="1:3" x14ac:dyDescent="0.3">
      <c r="A109" t="s">
        <v>2024</v>
      </c>
      <c r="C109" s="27" t="str">
        <v>บริษัท หลักทรัพย์จัดการกองทุนรวมบัวหลวง จำกัด</v>
      </c>
    </row>
    <row r="110" spans="1:3" x14ac:dyDescent="0.3">
      <c r="A110" t="s">
        <v>2025</v>
      </c>
      <c r="C110" s="27" t="str">
        <v>บริษัท หลักทรัพย์จัดการกองทุนรวมฟิลลิป จำกัด</v>
      </c>
    </row>
    <row r="111" spans="1:3" x14ac:dyDescent="0.3">
      <c r="A111" t="s">
        <v>2026</v>
      </c>
      <c r="C111" s="27" t="str">
        <v>บริษัท หลักทรัพย์จัดการกองทุนลีฟแคปปิตอล จำกัด</v>
      </c>
    </row>
    <row r="112" spans="1:3" x14ac:dyDescent="0.3">
      <c r="A112" t="s">
        <v>2027</v>
      </c>
      <c r="C112" s="27" t="str">
        <v>บริษัท หลักทรัพย์จัดการกองทุนแลนด์ แอนด์ เฮ้าส์ จำกัด</v>
      </c>
    </row>
    <row r="113" spans="1:3" x14ac:dyDescent="0.3">
      <c r="A113" t="s">
        <v>2028</v>
      </c>
      <c r="C113" s="27" t="str">
        <v>บริษัท หลักทรัพย์จัดการกองทุนสแทชอเวย์ (ประเทศไทย) จำกัด</v>
      </c>
    </row>
    <row r="114" spans="1:3" x14ac:dyDescent="0.3">
      <c r="A114" t="s">
        <v>2029</v>
      </c>
      <c r="C114" s="27" t="str">
        <v>บริษัท หลักทรัพย์จัดการกองทุนอเบอร์ดีน (ประเทศไทย) จำกัด</v>
      </c>
    </row>
    <row r="115" spans="1:3" x14ac:dyDescent="0.3">
      <c r="A115" t="s">
        <v>2030</v>
      </c>
      <c r="C115" s="27" t="str">
        <v>บริษัท หลักทรัพย์จัดการกองทุนอีสท์สปริง (ประเทศไทย) จำกัด</v>
      </c>
    </row>
    <row r="116" spans="1:3" x14ac:dyDescent="0.3">
      <c r="A116" t="s">
        <v>2031</v>
      </c>
      <c r="C116" s="27" t="str">
        <v>บริษัท หลักทรัพย์จัดการกองทุนเอ็กซ์สปริง จำกัด</v>
      </c>
    </row>
    <row r="117" spans="1:3" x14ac:dyDescent="0.3">
      <c r="A117" t="s">
        <v>2032</v>
      </c>
      <c r="C117" s="27" t="str">
        <v>บริษัท หลักทรัพย์จัดการกองทุนเอ็มเอฟซี จำกัด (มหาชน)</v>
      </c>
    </row>
    <row r="118" spans="1:3" x14ac:dyDescent="0.3">
      <c r="A118" t="s">
        <v>2033</v>
      </c>
      <c r="C118" s="27" t="str">
        <v>บริษัท หลักทรัพย์จัดการกองทุนเอไอเอ (ประเทศไทย) จำกัด</v>
      </c>
    </row>
    <row r="119" spans="1:3" x14ac:dyDescent="0.3">
      <c r="A119" t="s">
        <v>2034</v>
      </c>
      <c r="C119" s="27" t="str">
        <v>บริษัท หลักทรัพย์จัดการกองทุนแอสเซท พลัส จำกัด</v>
      </c>
    </row>
    <row r="120" spans="1:3" x14ac:dyDescent="0.3">
      <c r="A120" t="s">
        <v>2035</v>
      </c>
      <c r="C120" s="27" t="str">
        <v>บริษัท หลักทรัพย์จัดการกองทุนไอร่า จำกัด</v>
      </c>
    </row>
    <row r="121" spans="1:3" x14ac:dyDescent="0.3">
      <c r="A121" t="s">
        <v>2036</v>
      </c>
      <c r="C121" s="27" t="str">
        <v>บริษัท หลักทรัพย์จีเอ็มโอ-แซด คอม (ประเทศไทย) จำกัด (มหาชน)</v>
      </c>
    </row>
    <row r="122" spans="1:3" x14ac:dyDescent="0.3">
      <c r="A122" t="s">
        <v>2037</v>
      </c>
      <c r="C122" s="27" t="str">
        <v>บริษัท หลักทรัพย์เจพีมอร์แกน (ประเทศไทย) จำกัด</v>
      </c>
    </row>
    <row r="123" spans="1:3" x14ac:dyDescent="0.3">
      <c r="A123" t="s">
        <v>2038</v>
      </c>
      <c r="C123" s="27" t="str">
        <v>บริษัท หลักทรัพย์ซิตี้คอร์ป (ประเทศไทย) จำกัด</v>
      </c>
    </row>
    <row r="124" spans="1:3" x14ac:dyDescent="0.3">
      <c r="A124" t="s">
        <v>2039</v>
      </c>
      <c r="C124" s="27" t="str">
        <v>บริษัท หลักทรัพย์ซี แอล เอส เอ (ประเทศไทย) จำกัด</v>
      </c>
    </row>
    <row r="125" spans="1:3" x14ac:dyDescent="0.3">
      <c r="A125" t="s">
        <v>2040</v>
      </c>
      <c r="C125" s="27" t="str">
        <v>บริษัท หลักทรัพย์ซีจีเอส-ซีไอเอ็มบี (ประเทศไทย) จำกัด</v>
      </c>
    </row>
    <row r="126" spans="1:3" x14ac:dyDescent="0.3">
      <c r="A126" t="s">
        <v>2041</v>
      </c>
      <c r="C126" s="27" t="str">
        <v>บริษัท หลักทรัพย์ดีบีเอส วิคเคอร์ส (ประเทศไทย) จำกัด</v>
      </c>
    </row>
    <row r="127" spans="1:3" x14ac:dyDescent="0.3">
      <c r="A127" t="s">
        <v>2042</v>
      </c>
      <c r="C127" s="27" t="str">
        <v>บริษัท หลักทรัพย์ทรีนีตี้ จำกัด</v>
      </c>
    </row>
    <row r="128" spans="1:3" x14ac:dyDescent="0.3">
      <c r="A128" t="s">
        <v>2043</v>
      </c>
      <c r="C128" s="27" t="str">
        <v>บริษัท หลักทรัพย์ทิสโก้ จำกัด</v>
      </c>
    </row>
    <row r="129" spans="1:3" x14ac:dyDescent="0.3">
      <c r="A129" s="26" t="s">
        <v>2044</v>
      </c>
      <c r="C129" s="27" t="str">
        <v>บริษัท หลักทรัพย์ที่ปรึกษาการลงทุน เดฟินิท จำกัด</v>
      </c>
    </row>
    <row r="130" spans="1:3" x14ac:dyDescent="0.3">
      <c r="A130" t="s">
        <v>2045</v>
      </c>
      <c r="C130" s="27" t="str">
        <v>บริษัท หลักทรัพย์ที่ปรึกษาการลงทุน ฟาร์นัม ตรี จำกัด</v>
      </c>
    </row>
    <row r="131" spans="1:3" x14ac:dyDescent="0.3">
      <c r="A131" t="s">
        <v>2046</v>
      </c>
      <c r="C131" s="27" t="str">
        <v>บริษัท หลักทรัพย์ที่ปรึกษาการลงทุนคลาสสิก ออสสิริส จำกัด</v>
      </c>
    </row>
    <row r="132" spans="1:3" x14ac:dyDescent="0.3">
      <c r="A132" t="s">
        <v>2047</v>
      </c>
      <c r="C132" s="27" t="str">
        <v>บริษัท หลักทรัพย์ที่ปรึกษาการลงทุนควอนตัม เว็ลธ์ จำกัด</v>
      </c>
    </row>
    <row r="133" spans="1:3" x14ac:dyDescent="0.3">
      <c r="A133" t="s">
        <v>2048</v>
      </c>
      <c r="C133" s="27" t="str">
        <v>บริษัท หลักทรัพย์ที่ปรึกษาการลงทุนไคลเอนท์-เซนเตอร์ ครอส-บอร์เดอร์ จำกัด</v>
      </c>
    </row>
    <row r="134" spans="1:3" x14ac:dyDescent="0.3">
      <c r="A134" t="s">
        <v>2049</v>
      </c>
      <c r="C134" s="27" t="str">
        <v>บริษัท หลักทรัพย์ที่ปรึกษาการลงทุนดีพสโคป จำกัด</v>
      </c>
    </row>
    <row r="135" spans="1:3" x14ac:dyDescent="0.3">
      <c r="A135" s="26" t="s">
        <v>2050</v>
      </c>
      <c r="C135" s="27" t="str">
        <v>บริษัท หลักทรัพย์ที่ปรึกษาการลงทุนต้นธารคอร์ปอเรชั่น จำกัด</v>
      </c>
    </row>
    <row r="136" spans="1:3" x14ac:dyDescent="0.3">
      <c r="A136" t="s">
        <v>2051</v>
      </c>
      <c r="C136" s="27" t="str">
        <v>บริษัท หลักทรัพย์ที่ปรึกษาการลงทุนเทรเชอริสต์ จำกัด</v>
      </c>
    </row>
    <row r="137" spans="1:3" x14ac:dyDescent="0.3">
      <c r="A137" t="s">
        <v>2052</v>
      </c>
      <c r="C137" s="27" t="str">
        <v>บริษัท หลักทรัพย์ที่ปรึกษาการลงทุนบี แอนด์ บี ไลฟ์ พาร์ทเนอร์ จำกัด</v>
      </c>
    </row>
    <row r="138" spans="1:3" x14ac:dyDescent="0.3">
      <c r="A138" s="26" t="s">
        <v>2053</v>
      </c>
      <c r="C138" s="27" t="str">
        <v>บริษัท หลักทรัพย์ที่ปรึกษาการลงทุนบีเอ็มเค เวลธ์ จำกัด</v>
      </c>
    </row>
    <row r="139" spans="1:3" x14ac:dyDescent="0.3">
      <c r="A139" t="s">
        <v>2054</v>
      </c>
      <c r="C139" s="27" t="str">
        <v>บริษัท หลักทรัพย์ที่ปรึกษาการลงทุนโพรบิท แอดไวซอรี่ จำกัด</v>
      </c>
    </row>
    <row r="140" spans="1:3" x14ac:dyDescent="0.3">
      <c r="A140" s="26" t="s">
        <v>2055</v>
      </c>
      <c r="C140" s="27" t="str">
        <v>บริษัท หลักทรัพย์ที่ปรึกษาการลงทุนฟินน์คอร์ป จำกัด</v>
      </c>
    </row>
    <row r="141" spans="1:3" x14ac:dyDescent="0.3">
      <c r="A141" t="s">
        <v>2056</v>
      </c>
      <c r="C141" s="27" t="str">
        <v>บริษัท หลักทรัพย์ที่ปรึกษาการลงทุนโรโบเวลธ์ จำกัด</v>
      </c>
    </row>
    <row r="142" spans="1:3" x14ac:dyDescent="0.3">
      <c r="A142" t="s">
        <v>2057</v>
      </c>
      <c r="C142" s="27" t="str">
        <v>บริษัท หลักทรัพย์ที่ปรึกษาการลงทุนเวลธ ครีเอชั่น อินเตอร์เนชั่นแนล จำกัด</v>
      </c>
    </row>
    <row r="143" spans="1:3" x14ac:dyDescent="0.3">
      <c r="A143" t="s">
        <v>2058</v>
      </c>
      <c r="C143" s="27" t="str">
        <v>บริษัท หลักทรัพย์ที่ปรึกษาการลงทุนอเวนเจอร์ แพลนเนอร์ จำกัด</v>
      </c>
    </row>
    <row r="144" spans="1:3" x14ac:dyDescent="0.3">
      <c r="A144" t="s">
        <v>2059</v>
      </c>
      <c r="C144" s="27" t="str">
        <v>บริษัท หลักทรัพย์ที่ปรึกษาการลงทุนเอกการลงทุน จำกัด</v>
      </c>
    </row>
    <row r="145" spans="1:3" x14ac:dyDescent="0.3">
      <c r="A145" s="26" t="s">
        <v>2060</v>
      </c>
      <c r="C145" s="27" t="str">
        <v>บริษัท หลักทรัพย์ที่ปรึกษาการลงทุนเอฟเอสเอส อินเตอร์เนชั่นแนล จำกัด</v>
      </c>
    </row>
    <row r="146" spans="1:3" x14ac:dyDescent="0.3">
      <c r="A146" t="s">
        <v>2061</v>
      </c>
      <c r="C146" s="27" t="str">
        <v>บริษัท หลักทรัพย์ที่ปรึกษาการลงทุนเอ็มบีเอ็มจี จำกัด</v>
      </c>
    </row>
    <row r="147" spans="1:3" x14ac:dyDescent="0.3">
      <c r="A147" s="26" t="s">
        <v>2062</v>
      </c>
      <c r="C147" s="27" t="str">
        <v>บริษัท หลักทรัพย์ที่ปรึกษาการลงทุนฮิปโป เวลธ์ (ไทยแลนด์) จำกัด</v>
      </c>
    </row>
    <row r="148" spans="1:3" x14ac:dyDescent="0.3">
      <c r="A148" t="s">
        <v>2063</v>
      </c>
      <c r="C148" s="27" t="str">
        <v>บริษัท หลักทรัพย์ธนชาต จำกัด (มหาชน)</v>
      </c>
    </row>
    <row r="149" spans="1:3" x14ac:dyDescent="0.3">
      <c r="A149" t="s">
        <v>2064</v>
      </c>
      <c r="C149" s="27" t="str">
        <v>บริษัท หลักทรัพย์นายหน้าซื้อขายหน่วยลงทุน ยูเนี่ยน เว็ลธ์ จำกัด</v>
      </c>
    </row>
    <row r="150" spans="1:3" x14ac:dyDescent="0.3">
      <c r="A150" t="s">
        <v>2065</v>
      </c>
      <c r="C150" s="27" t="str">
        <v>บริษัท หลักทรัพย์นายหน้าซื้อขายหน่วยลงทุน โรโบเวลธ์ จำกัด</v>
      </c>
    </row>
    <row r="151" spans="1:3" x14ac:dyDescent="0.3">
      <c r="A151" t="s">
        <v>2066</v>
      </c>
      <c r="C151" s="27" t="str">
        <v>บริษัท หลักทรัพย์นายหน้าซื้อขายหน่วยลงทุน เวลธ์ คอนเซปท์ จำกัด</v>
      </c>
    </row>
    <row r="152" spans="1:3" x14ac:dyDescent="0.3">
      <c r="A152" t="s">
        <v>2067</v>
      </c>
      <c r="C152" s="27" t="str">
        <v>บริษัท หลักทรัพย์นายหน้าซื้อขายหน่วยลงทุน แอสเซนด์ เวลธ์ จำกัด</v>
      </c>
    </row>
    <row r="153" spans="1:3" x14ac:dyDescent="0.3">
      <c r="A153" s="26" t="s">
        <v>2068</v>
      </c>
      <c r="C153" s="27" t="str">
        <v>บริษัท หลักทรัพย์นายหน้าซื้อขายหน่วยลงทุนฐานเศรษฐกิจ แคปพิตอล จำกัด</v>
      </c>
    </row>
    <row r="154" spans="1:3" x14ac:dyDescent="0.3">
      <c r="A154" t="s">
        <v>2069</v>
      </c>
      <c r="C154" s="27" t="str">
        <v>บริษัท หลักทรัพย์นายหน้าซื้อขายหน่วยลงทุนเทรเชอริสต์ จำกัด</v>
      </c>
    </row>
    <row r="155" spans="1:3" x14ac:dyDescent="0.3">
      <c r="A155" t="s">
        <v>2070</v>
      </c>
      <c r="C155" s="27" t="str">
        <v>บริษัท หลักทรัพย์นายหน้าซื้อขายหน่วยลงทุนฟินโนมีนา จำกัด</v>
      </c>
    </row>
    <row r="156" spans="1:3" x14ac:dyDescent="0.3">
      <c r="A156" t="s">
        <v>2071</v>
      </c>
      <c r="C156" s="27" t="str">
        <v>บริษัท หลักทรัพย์นายหน้าซื้อขายหน่วยลงทุนไฟแนนเชียล ลิงค์ จำกัด</v>
      </c>
    </row>
    <row r="157" spans="1:3" x14ac:dyDescent="0.3">
      <c r="A157" t="s">
        <v>2072</v>
      </c>
      <c r="C157" s="27" t="str">
        <v>บริษัท หลักทรัพย์นายหน้าซื้อขายหน่วยลงทุนเวลท์ รีพับบลิค จำกัด</v>
      </c>
    </row>
    <row r="158" spans="1:3" x14ac:dyDescent="0.3">
      <c r="A158" t="s">
        <v>2073</v>
      </c>
      <c r="C158" s="27" t="str">
        <v>บริษัท หลักทรัพย์นายหน้าซื้อขายหน่วยลงทุนเวลธ์ เซอร์ติฟายด์ จำกัด</v>
      </c>
    </row>
    <row r="159" spans="1:3" x14ac:dyDescent="0.3">
      <c r="A159" t="s">
        <v>2074</v>
      </c>
      <c r="C159" s="27" t="str">
        <v>บริษัท หลักทรัพย์นายหน้าซื้อขายหน่วยลงทุนอมุนดิ (ประเทศไทย) จำกัด</v>
      </c>
    </row>
    <row r="160" spans="1:3" x14ac:dyDescent="0.3">
      <c r="A160" t="s">
        <v>2075</v>
      </c>
      <c r="C160" s="27" t="str">
        <v>บริษัท หลักทรัพย์บัวหลวง จำกัด (มหาชน)</v>
      </c>
    </row>
    <row r="161" spans="1:3" x14ac:dyDescent="0.3">
      <c r="A161" t="s">
        <v>2076</v>
      </c>
      <c r="C161" s="27" t="str">
        <v>บริษัท หลักทรัพย์บียอนด์ จำกัด (มหาชน)</v>
      </c>
    </row>
    <row r="162" spans="1:3" x14ac:dyDescent="0.3">
      <c r="A162" t="s">
        <v>2077</v>
      </c>
      <c r="C162" s="27" t="str">
        <v>บริษัท หลักทรัพย์บีเอ็นพี พารีบาส์ (ประเทศไทย) จำกัด</v>
      </c>
    </row>
    <row r="163" spans="1:3" x14ac:dyDescent="0.3">
      <c r="A163" t="s">
        <v>2078</v>
      </c>
      <c r="C163" s="27" t="str">
        <v>บริษัท หลักทรัพย์พาย จำกัด (มหาชน)</v>
      </c>
    </row>
    <row r="164" spans="1:3" x14ac:dyDescent="0.3">
      <c r="A164" t="s">
        <v>2079</v>
      </c>
      <c r="C164" s="27" t="str">
        <v>บริษัท หลักทรัพย์เพื่อธุรกิจหลักทรัพย์ จำกัด (มหาชน)</v>
      </c>
    </row>
    <row r="165" spans="1:3" x14ac:dyDescent="0.3">
      <c r="A165" t="s">
        <v>2080</v>
      </c>
      <c r="C165" s="27" t="str">
        <v>บริษัท หลักทรัพย์ฟินันซ่า จำกัด</v>
      </c>
    </row>
    <row r="166" spans="1:3" x14ac:dyDescent="0.3">
      <c r="A166" t="s">
        <v>2081</v>
      </c>
      <c r="C166" s="27" t="str">
        <v>บริษัท หลักทรัพย์ฟินันเซีย ไซรัส จำกัด (มหาชน)</v>
      </c>
    </row>
    <row r="167" spans="1:3" x14ac:dyDescent="0.3">
      <c r="A167" t="s">
        <v>2082</v>
      </c>
      <c r="C167" s="27" t="str">
        <v>บริษัท หลักทรัพย์ฟิลลิป (ประเทศไทย) จำกัด (มหาชน)</v>
      </c>
    </row>
    <row r="168" spans="1:3" x14ac:dyDescent="0.3">
      <c r="A168" t="s">
        <v>2083</v>
      </c>
      <c r="C168" s="27" t="str">
        <v>บริษัท หลักทรัพย์เมย์แบงก์ (ประเทศไทย) จำกัด (มหาชน)</v>
      </c>
    </row>
    <row r="169" spans="1:3" x14ac:dyDescent="0.3">
      <c r="A169" t="s">
        <v>2084</v>
      </c>
      <c r="C169" s="27" t="str">
        <v>บริษัท หลักทรัพย์เมอร์ชั่น พาร์ทเนอร์ จำกัด (มหาชน)</v>
      </c>
    </row>
    <row r="170" spans="1:3" x14ac:dyDescent="0.3">
      <c r="A170" s="26" t="s">
        <v>2085</v>
      </c>
      <c r="C170" s="27" t="str">
        <v>บริษัท หลักทรัพย์เมอร์ริล ลินช์ (ประเทศไทย) จำกัด</v>
      </c>
    </row>
    <row r="171" spans="1:3" x14ac:dyDescent="0.3">
      <c r="A171" t="s">
        <v>2086</v>
      </c>
      <c r="C171" s="27" t="str">
        <v>บริษัท หลักทรัพย์แมคควอรี (ประเทศไทย) จำกัด</v>
      </c>
    </row>
    <row r="172" spans="1:3" x14ac:dyDescent="0.3">
      <c r="A172" t="s">
        <v>2087</v>
      </c>
      <c r="C172" s="27" t="str">
        <v>บริษัท หลักทรัพย์ยูบีเอส (ประเทศไทย) จำกัด</v>
      </c>
    </row>
    <row r="173" spans="1:3" x14ac:dyDescent="0.3">
      <c r="A173" t="s">
        <v>2088</v>
      </c>
      <c r="C173" s="27" t="str">
        <v>บริษัท หลักทรัพย์ยูโอบี เคย์เฮียน (ประเทศไทย) จำกัด (มหาชน)</v>
      </c>
    </row>
    <row r="174" spans="1:3" x14ac:dyDescent="0.3">
      <c r="A174" s="26" t="s">
        <v>2089</v>
      </c>
      <c r="C174" s="27" t="str">
        <v>บริษัท หลักทรัพย์วีบูลล์ (ประเทศไทย) จำกัด</v>
      </c>
    </row>
    <row r="175" spans="1:3" x14ac:dyDescent="0.3">
      <c r="A175" t="s">
        <v>2090</v>
      </c>
      <c r="C175" s="27" t="str">
        <v>บริษัท หลักทรัพย์หยวนต้า (ประเทศไทย) จำกัด</v>
      </c>
    </row>
    <row r="176" spans="1:3" x14ac:dyDescent="0.3">
      <c r="A176" t="s">
        <v>2091</v>
      </c>
      <c r="C176" s="27" t="str">
        <v>บริษัท หลักทรัพย์อาร์เอชบี (ประเทศไทย) จำกัด (มหาชน)</v>
      </c>
    </row>
    <row r="177" spans="1:3" x14ac:dyDescent="0.3">
      <c r="A177" t="s">
        <v>2092</v>
      </c>
      <c r="C177" s="27" t="str">
        <v>บริษัท หลักทรัพย์เอสบีไอ ไทย ออนไลน์ จำกัด</v>
      </c>
    </row>
    <row r="178" spans="1:3" x14ac:dyDescent="0.3">
      <c r="A178" t="s">
        <v>2093</v>
      </c>
      <c r="C178" s="27" t="str">
        <v>บริษัท หลักทรัพย์ไอ วี โกลบอล จำกัด (มหาชน)</v>
      </c>
    </row>
    <row r="179" spans="1:3" x14ac:dyDescent="0.3">
      <c r="A179" t="s">
        <v>2094</v>
      </c>
      <c r="C179" s="27" t="str">
        <v>บริษัท หลักทรัพย์ไอร่า จำกัด (มหาชน)</v>
      </c>
    </row>
    <row r="180" spans="1:3" x14ac:dyDescent="0.3">
      <c r="A180" t="s">
        <v>2095</v>
      </c>
      <c r="C180" s="27" t="str">
        <v>บริษัท อลิอันซ์ อยุธยา ประกันชีวิต จำกัด (มหาชน)</v>
      </c>
    </row>
    <row r="181" spans="1:3" x14ac:dyDescent="0.3">
      <c r="A181" t="s">
        <v>2096</v>
      </c>
      <c r="C181" s="27" t="str">
        <v>บริษัท ออร์บิกซ์ เทรด จำกัด</v>
      </c>
    </row>
    <row r="182" spans="1:3" x14ac:dyDescent="0.3">
      <c r="A182" s="26" t="s">
        <v>2097</v>
      </c>
      <c r="C182" s="27" t="str">
        <v>บริษัท ออร์บิกซ์ อินเวสท์ จำกัด</v>
      </c>
    </row>
    <row r="183" spans="1:3" x14ac:dyDescent="0.3">
      <c r="A183" t="s">
        <v>2098</v>
      </c>
      <c r="C183" s="27" t="str">
        <v>บริษัท อัพบิต เอ็กซ์เชนจ์ (ประเทศไทย) จำกัด</v>
      </c>
    </row>
    <row r="184" spans="1:3" x14ac:dyDescent="0.3">
      <c r="A184" t="s">
        <v>2099</v>
      </c>
      <c r="C184" s="27" t="str">
        <v>บริษัท อินเวสทรี (ไทยแลนด์) จำกัด</v>
      </c>
    </row>
    <row r="185" spans="1:3" x14ac:dyDescent="0.3">
      <c r="A185" t="s">
        <v>2100</v>
      </c>
      <c r="C185" s="27" t="str">
        <v>บริษัท อีอาร์เอ็กซ์ จำกัด</v>
      </c>
    </row>
    <row r="186" spans="1:3" x14ac:dyDescent="0.3">
      <c r="A186" t="s">
        <v>2101</v>
      </c>
      <c r="C186" s="27" t="str">
        <v>บริษัท เอ็กซ์สปริง ดิจิทัล จำกัด</v>
      </c>
    </row>
    <row r="187" spans="1:3" x14ac:dyDescent="0.3">
      <c r="A187" t="s">
        <v>2102</v>
      </c>
      <c r="C187" s="27" t="str">
        <v>บริษัท เอฟดับบลิวดี ประกันชีวิต จำกัด (มหาชน)</v>
      </c>
    </row>
    <row r="188" spans="1:3" x14ac:dyDescent="0.3">
      <c r="A188" t="s">
        <v>2103</v>
      </c>
      <c r="C188" s="27" t="str">
        <v>บริษัท เอฟเอส สยาม จำกัด</v>
      </c>
    </row>
    <row r="189" spans="1:3" x14ac:dyDescent="0.3">
      <c r="A189" t="s">
        <v>2104</v>
      </c>
      <c r="C189" s="27" t="str">
        <v>บริษัท เอ็มทีเอส แคปปิตอล จำกัด</v>
      </c>
    </row>
    <row r="190" spans="1:3" x14ac:dyDescent="0.3">
      <c r="A190" t="s">
        <v>2105</v>
      </c>
      <c r="C190" s="27" t="str">
        <v>บริษัท เอไอเอ จำกัด</v>
      </c>
    </row>
    <row r="191" spans="1:3" x14ac:dyDescent="0.3">
      <c r="A191" t="s">
        <v>2106</v>
      </c>
      <c r="C191" s="27" t="str">
        <v>บริษัท ฮั่วเซ่งเฮง โกลด์ ฟิวเจอร์ส จำกัด</v>
      </c>
    </row>
    <row r="192" spans="1:3" ht="18.2" x14ac:dyDescent="0.35">
      <c r="A192" s="28"/>
    </row>
    <row r="193" spans="1:1" ht="18.2" x14ac:dyDescent="0.35">
      <c r="A193" s="28"/>
    </row>
    <row r="194" spans="1:1" ht="18.2" x14ac:dyDescent="0.35">
      <c r="A194" s="28"/>
    </row>
    <row r="195" spans="1:1" ht="18.2" x14ac:dyDescent="0.35">
      <c r="A195" s="28"/>
    </row>
    <row r="196" spans="1:1" ht="18.2" x14ac:dyDescent="0.35">
      <c r="A196" s="28"/>
    </row>
    <row r="197" spans="1:1" ht="18.2" x14ac:dyDescent="0.35">
      <c r="A197" s="28"/>
    </row>
    <row r="198" spans="1:1" ht="18.2" x14ac:dyDescent="0.35">
      <c r="A198" s="28"/>
    </row>
    <row r="199" spans="1:1" ht="18.2" x14ac:dyDescent="0.35">
      <c r="A199" s="28"/>
    </row>
    <row r="200" spans="1:1" ht="18.2" x14ac:dyDescent="0.35">
      <c r="A200" s="28"/>
    </row>
    <row r="201" spans="1:1" ht="18.2" x14ac:dyDescent="0.35">
      <c r="A201" s="28"/>
    </row>
    <row r="202" spans="1:1" ht="18.2" x14ac:dyDescent="0.35">
      <c r="A202" s="28"/>
    </row>
    <row r="203" spans="1:1" ht="18.2" x14ac:dyDescent="0.35">
      <c r="A203" s="28"/>
    </row>
    <row r="204" spans="1:1" ht="18.2" x14ac:dyDescent="0.35">
      <c r="A204" s="28"/>
    </row>
    <row r="205" spans="1:1" ht="18.2" x14ac:dyDescent="0.35">
      <c r="A205" s="28"/>
    </row>
    <row r="206" spans="1:1" ht="18.2" x14ac:dyDescent="0.35">
      <c r="A206" s="28"/>
    </row>
    <row r="207" spans="1:1" ht="18.2" x14ac:dyDescent="0.35">
      <c r="A207" s="28"/>
    </row>
    <row r="208" spans="1:1" ht="18.2" x14ac:dyDescent="0.35">
      <c r="A208" s="28"/>
    </row>
    <row r="209" spans="1:1" ht="18.2" x14ac:dyDescent="0.35">
      <c r="A209" s="28"/>
    </row>
    <row r="210" spans="1:1" ht="18.2" x14ac:dyDescent="0.35">
      <c r="A210" s="28"/>
    </row>
    <row r="211" spans="1:1" ht="18.2" x14ac:dyDescent="0.35">
      <c r="A211" s="28"/>
    </row>
    <row r="212" spans="1:1" ht="18.2" x14ac:dyDescent="0.35">
      <c r="A212" s="28"/>
    </row>
    <row r="213" spans="1:1" ht="18.2" x14ac:dyDescent="0.35">
      <c r="A213" s="28"/>
    </row>
    <row r="214" spans="1:1" ht="18.2" x14ac:dyDescent="0.35">
      <c r="A214" s="28"/>
    </row>
    <row r="215" spans="1:1" ht="18.2" x14ac:dyDescent="0.35">
      <c r="A215" s="28"/>
    </row>
    <row r="216" spans="1:1" ht="18.2" x14ac:dyDescent="0.35">
      <c r="A216" s="28"/>
    </row>
    <row r="217" spans="1:1" ht="18.2" x14ac:dyDescent="0.35">
      <c r="A217" s="28"/>
    </row>
    <row r="218" spans="1:1" ht="18.2" x14ac:dyDescent="0.35">
      <c r="A218" s="28"/>
    </row>
    <row r="219" spans="1:1" ht="18.2" x14ac:dyDescent="0.35">
      <c r="A219" s="28"/>
    </row>
    <row r="220" spans="1:1" ht="18.2" x14ac:dyDescent="0.35">
      <c r="A220" s="28"/>
    </row>
    <row r="221" spans="1:1" ht="18.2" x14ac:dyDescent="0.35">
      <c r="A221" s="28"/>
    </row>
    <row r="222" spans="1:1" ht="18.2" x14ac:dyDescent="0.35">
      <c r="A222" s="28"/>
    </row>
    <row r="223" spans="1:1" ht="18.2" x14ac:dyDescent="0.35">
      <c r="A223" s="28"/>
    </row>
    <row r="224" spans="1:1" ht="18.2" x14ac:dyDescent="0.35">
      <c r="A224" s="28"/>
    </row>
    <row r="225" spans="1:1" ht="18.2" x14ac:dyDescent="0.35">
      <c r="A225" s="28"/>
    </row>
    <row r="226" spans="1:1" ht="18.2" x14ac:dyDescent="0.35">
      <c r="A226" s="28"/>
    </row>
    <row r="227" spans="1:1" ht="18.2" x14ac:dyDescent="0.35">
      <c r="A227" s="28"/>
    </row>
    <row r="228" spans="1:1" ht="18.2" x14ac:dyDescent="0.35">
      <c r="A228" s="28"/>
    </row>
    <row r="229" spans="1:1" ht="18.2" x14ac:dyDescent="0.35">
      <c r="A229" s="28"/>
    </row>
    <row r="230" spans="1:1" ht="18.2" x14ac:dyDescent="0.35">
      <c r="A230" s="28"/>
    </row>
    <row r="231" spans="1:1" ht="18.2" x14ac:dyDescent="0.35">
      <c r="A231" s="28"/>
    </row>
    <row r="232" spans="1:1" ht="18.2" x14ac:dyDescent="0.35">
      <c r="A232" s="28"/>
    </row>
    <row r="233" spans="1:1" ht="18.2" x14ac:dyDescent="0.35">
      <c r="A233" s="28"/>
    </row>
    <row r="234" spans="1:1" ht="18.2" x14ac:dyDescent="0.35">
      <c r="A234" s="28"/>
    </row>
    <row r="235" spans="1:1" ht="18.2" x14ac:dyDescent="0.35">
      <c r="A235" s="28"/>
    </row>
    <row r="236" spans="1:1" ht="18.2" x14ac:dyDescent="0.35">
      <c r="A236" s="28"/>
    </row>
    <row r="237" spans="1:1" ht="18.2" x14ac:dyDescent="0.35">
      <c r="A237" s="28"/>
    </row>
    <row r="238" spans="1:1" ht="18.2" x14ac:dyDescent="0.35">
      <c r="A238" s="28"/>
    </row>
    <row r="239" spans="1:1" ht="18.2" x14ac:dyDescent="0.35">
      <c r="A239" s="28"/>
    </row>
    <row r="240" spans="1:1" ht="18.2" x14ac:dyDescent="0.35">
      <c r="A240" s="28"/>
    </row>
    <row r="241" spans="1:1" ht="18.2" x14ac:dyDescent="0.35">
      <c r="A241" s="28"/>
    </row>
    <row r="242" spans="1:1" ht="18.2" x14ac:dyDescent="0.35">
      <c r="A242" s="28"/>
    </row>
    <row r="243" spans="1:1" ht="18.2" x14ac:dyDescent="0.35">
      <c r="A243" s="28"/>
    </row>
    <row r="244" spans="1:1" ht="18.2" x14ac:dyDescent="0.35">
      <c r="A244" s="28"/>
    </row>
    <row r="245" spans="1:1" ht="18.2" x14ac:dyDescent="0.35">
      <c r="A245" s="28"/>
    </row>
    <row r="246" spans="1:1" ht="18.2" x14ac:dyDescent="0.35">
      <c r="A246" s="28"/>
    </row>
    <row r="247" spans="1:1" ht="18.2" x14ac:dyDescent="0.35">
      <c r="A247" s="28"/>
    </row>
    <row r="248" spans="1:1" ht="18.2" x14ac:dyDescent="0.35">
      <c r="A248" s="28"/>
    </row>
    <row r="249" spans="1:1" ht="18.2" x14ac:dyDescent="0.35">
      <c r="A249" s="28"/>
    </row>
    <row r="250" spans="1:1" ht="18.2" x14ac:dyDescent="0.35">
      <c r="A250" s="28"/>
    </row>
    <row r="251" spans="1:1" ht="18.2" x14ac:dyDescent="0.35">
      <c r="A251" s="28"/>
    </row>
    <row r="252" spans="1:1" ht="18.2" x14ac:dyDescent="0.35">
      <c r="A252" s="28"/>
    </row>
    <row r="253" spans="1:1" ht="18.2" x14ac:dyDescent="0.35">
      <c r="A253" s="28"/>
    </row>
    <row r="254" spans="1:1" ht="18.2" x14ac:dyDescent="0.35">
      <c r="A254" s="28"/>
    </row>
    <row r="255" spans="1:1" ht="18.2" x14ac:dyDescent="0.35">
      <c r="A255" s="28"/>
    </row>
    <row r="256" spans="1:1" ht="18.2" x14ac:dyDescent="0.35">
      <c r="A256" s="28"/>
    </row>
    <row r="257" spans="1:1" ht="18.2" x14ac:dyDescent="0.35">
      <c r="A257" s="28"/>
    </row>
    <row r="258" spans="1:1" ht="18.2" x14ac:dyDescent="0.35">
      <c r="A258" s="28"/>
    </row>
    <row r="259" spans="1:1" ht="18.2" x14ac:dyDescent="0.35">
      <c r="A259" s="28"/>
    </row>
    <row r="260" spans="1:1" ht="18.2" x14ac:dyDescent="0.35">
      <c r="A260" s="28"/>
    </row>
    <row r="261" spans="1:1" ht="18.2" x14ac:dyDescent="0.35">
      <c r="A261" s="28"/>
    </row>
    <row r="262" spans="1:1" ht="18.2" x14ac:dyDescent="0.35">
      <c r="A262" s="28"/>
    </row>
    <row r="263" spans="1:1" ht="18.2" x14ac:dyDescent="0.35">
      <c r="A263" s="28"/>
    </row>
    <row r="264" spans="1:1" ht="18.2" x14ac:dyDescent="0.35">
      <c r="A264" s="28"/>
    </row>
    <row r="265" spans="1:1" ht="18.2" x14ac:dyDescent="0.35">
      <c r="A265" s="28"/>
    </row>
    <row r="266" spans="1:1" ht="18.2" x14ac:dyDescent="0.35">
      <c r="A266" s="28"/>
    </row>
    <row r="267" spans="1:1" ht="18.2" x14ac:dyDescent="0.35">
      <c r="A267" s="28"/>
    </row>
    <row r="268" spans="1:1" ht="18.2" x14ac:dyDescent="0.35">
      <c r="A268" s="28"/>
    </row>
    <row r="269" spans="1:1" ht="18.2" x14ac:dyDescent="0.35">
      <c r="A269" s="28"/>
    </row>
    <row r="270" spans="1:1" ht="18.2" x14ac:dyDescent="0.35">
      <c r="A270" s="28"/>
    </row>
    <row r="271" spans="1:1" ht="18.2" x14ac:dyDescent="0.35">
      <c r="A271" s="28"/>
    </row>
    <row r="272" spans="1:1" ht="18.2" x14ac:dyDescent="0.35">
      <c r="A272" s="28"/>
    </row>
    <row r="273" spans="1:1" ht="18.2" x14ac:dyDescent="0.35">
      <c r="A273" s="28"/>
    </row>
    <row r="274" spans="1:1" ht="18.2" x14ac:dyDescent="0.35">
      <c r="A274" s="28"/>
    </row>
    <row r="275" spans="1:1" ht="18.2" x14ac:dyDescent="0.35">
      <c r="A275" s="28"/>
    </row>
    <row r="276" spans="1:1" ht="18.2" x14ac:dyDescent="0.35">
      <c r="A276" s="28"/>
    </row>
    <row r="277" spans="1:1" ht="18.2" x14ac:dyDescent="0.35">
      <c r="A277" s="28"/>
    </row>
    <row r="278" spans="1:1" ht="18.2" x14ac:dyDescent="0.35">
      <c r="A278" s="28"/>
    </row>
    <row r="279" spans="1:1" ht="18.2" x14ac:dyDescent="0.35">
      <c r="A279" s="28"/>
    </row>
    <row r="280" spans="1:1" ht="18.2" x14ac:dyDescent="0.35">
      <c r="A280" s="28"/>
    </row>
    <row r="281" spans="1:1" ht="18.2" x14ac:dyDescent="0.35">
      <c r="A281" s="28"/>
    </row>
    <row r="282" spans="1:1" ht="18.2" x14ac:dyDescent="0.35">
      <c r="A282" s="28"/>
    </row>
    <row r="283" spans="1:1" ht="18.2" x14ac:dyDescent="0.35">
      <c r="A283" s="28"/>
    </row>
    <row r="284" spans="1:1" ht="18.2" x14ac:dyDescent="0.35">
      <c r="A284" s="28"/>
    </row>
    <row r="285" spans="1:1" ht="18.2" x14ac:dyDescent="0.35">
      <c r="A285" s="28"/>
    </row>
    <row r="286" spans="1:1" ht="18.2" x14ac:dyDescent="0.35">
      <c r="A286" s="28"/>
    </row>
    <row r="287" spans="1:1" ht="18.2" x14ac:dyDescent="0.35">
      <c r="A287" s="28"/>
    </row>
    <row r="288" spans="1:1" ht="18.2" x14ac:dyDescent="0.35">
      <c r="A288" s="28"/>
    </row>
    <row r="289" spans="1:1" ht="18.2" x14ac:dyDescent="0.35">
      <c r="A289" s="28"/>
    </row>
  </sheetData>
  <sortState xmlns:xlrd2="http://schemas.microsoft.com/office/spreadsheetml/2017/richdata2" ref="A2:A191">
    <sortCondition ref="A2:A191"/>
  </sortState>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TaxCatchAll xmlns="2eb41fdc-75f0-4d74-92a4-15984fab348a" xsi:nil="true"/>
    <_ip_UnifiedCompliancePolicyProperties xmlns="http://schemas.microsoft.com/sharepoint/v3" xsi:nil="true"/>
    <lcf76f155ced4ddcb4097134ff3c332f xmlns="4f7b99b8-5633-45e4-b1d6-3807719ff8a6">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3796E0F8C3081343B00DD9E005B22E3E" ma:contentTypeVersion="23" ma:contentTypeDescription="Create a new document." ma:contentTypeScope="" ma:versionID="b4a64b56571962b06eb6abdcb69214a6">
  <xsd:schema xmlns:xsd="http://www.w3.org/2001/XMLSchema" xmlns:xs="http://www.w3.org/2001/XMLSchema" xmlns:p="http://schemas.microsoft.com/office/2006/metadata/properties" xmlns:ns1="http://schemas.microsoft.com/sharepoint/v3" xmlns:ns2="4f7b99b8-5633-45e4-b1d6-3807719ff8a6" xmlns:ns3="2eb41fdc-75f0-4d74-92a4-15984fab348a" targetNamespace="http://schemas.microsoft.com/office/2006/metadata/properties" ma:root="true" ma:fieldsID="e38fec400ba1433b5e169fd0fdc60709" ns1:_="" ns2:_="" ns3:_="">
    <xsd:import namespace="http://schemas.microsoft.com/sharepoint/v3"/>
    <xsd:import namespace="4f7b99b8-5633-45e4-b1d6-3807719ff8a6"/>
    <xsd:import namespace="2eb41fdc-75f0-4d74-92a4-15984fab348a"/>
    <xsd:element name="properties">
      <xsd:complexType>
        <xsd:sequence>
          <xsd:element name="documentManagement">
            <xsd:complexType>
              <xsd:all>
                <xsd:element ref="ns2:MediaServiceMetadata" minOccurs="0"/>
                <xsd:element ref="ns2:MediaServiceFastMetadata"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2:MediaServiceDateTaken"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Location" minOccurs="0"/>
                <xsd:element ref="ns1:_ip_UnifiedCompliancePolicyProperties" minOccurs="0"/>
                <xsd:element ref="ns1:_ip_UnifiedCompliancePolicyUIAction" minOccurs="0"/>
                <xsd:element ref="ns2:MediaServiceSearchProperties" minOccurs="0"/>
                <xsd:element ref="ns2:MediaServiceObjectDetectorVersion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3" nillable="true" ma:displayName="Unified Compliance Policy Properties" ma:hidden="true" ma:internalName="_ip_UnifiedCompliancePolicyProperties">
      <xsd:simpleType>
        <xsd:restriction base="dms:Note"/>
      </xsd:simpleType>
    </xsd:element>
    <xsd:element name="_ip_UnifiedCompliancePolicyUIAction" ma:index="24"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7b99b8-5633-45e4-b1d6-3807719ff8a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Extracted Text" ma:internalName="MediaServiceOCR" ma:readOnly="true">
      <xsd:simpleType>
        <xsd:restriction base="dms:Note">
          <xsd:maxLength value="255"/>
        </xsd:restriction>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LengthInSeconds" ma:index="18" nillable="true" ma:displayName="Length (seconds)"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30f44897-c35e-4634-b1bc-cb8acb182fd6" ma:termSetId="09814cd3-568e-fe90-9814-8d621ff8fb84" ma:anchorId="fba54fb3-c3e1-fe81-a776-ca4b69148c4d" ma:open="true" ma:isKeyword="false">
      <xsd:complexType>
        <xsd:sequence>
          <xsd:element ref="pc:Terms" minOccurs="0" maxOccurs="1"/>
        </xsd:sequence>
      </xsd:complexType>
    </xsd:element>
    <xsd:element name="MediaServiceLocation" ma:index="22" nillable="true" ma:displayName="Location"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eb41fdc-75f0-4d74-92a4-15984fab348a"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4ffa2b43-c6c8-4896-afa0-c82892a29dae}" ma:internalName="TaxCatchAll" ma:showField="CatchAllData" ma:web="2eb41fdc-75f0-4d74-92a4-15984fab348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18ECC98-0509-4E37-BB18-D1319A247AAF}">
  <ds:schemaRefs>
    <ds:schemaRef ds:uri="http://schemas.microsoft.com/office/2006/metadata/properties"/>
    <ds:schemaRef ds:uri="http://schemas.microsoft.com/office/infopath/2007/PartnerControls"/>
    <ds:schemaRef ds:uri="http://schemas.microsoft.com/sharepoint/v3"/>
    <ds:schemaRef ds:uri="2eb41fdc-75f0-4d74-92a4-15984fab348a"/>
    <ds:schemaRef ds:uri="4f7b99b8-5633-45e4-b1d6-3807719ff8a6"/>
  </ds:schemaRefs>
</ds:datastoreItem>
</file>

<file path=customXml/itemProps2.xml><?xml version="1.0" encoding="utf-8"?>
<ds:datastoreItem xmlns:ds="http://schemas.openxmlformats.org/officeDocument/2006/customXml" ds:itemID="{EA51AD45-0C2B-4F02-AF51-F050F298B3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7b99b8-5633-45e4-b1d6-3807719ff8a6"/>
    <ds:schemaRef ds:uri="2eb41fdc-75f0-4d74-92a4-15984fab34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9521CDE-197B-4667-BA9C-60A840129927}">
  <ds:schemaRefs>
    <ds:schemaRef ds:uri="http://schemas.microsoft.com/DataMashup"/>
  </ds:schemaRefs>
</ds:datastoreItem>
</file>

<file path=customXml/itemProps4.xml><?xml version="1.0" encoding="utf-8"?>
<ds:datastoreItem xmlns:ds="http://schemas.openxmlformats.org/officeDocument/2006/customXml" ds:itemID="{371C40AC-651C-4A25-BE3A-D7019CFFB557}">
  <ds:schemaRefs>
    <ds:schemaRef ds:uri="http://schemas.microsoft.com/sharepoint/v3/contenttype/forms"/>
  </ds:schemaRefs>
</ds:datastoreItem>
</file>

<file path=docMetadata/LabelInfo.xml><?xml version="1.0" encoding="utf-8"?>
<clbl:labelList xmlns:clbl="http://schemas.microsoft.com/office/2020/mipLabelMetadata">
  <clbl:label id="{93a13704-be5e-4c4e-997b-ac174f3dc22e}" enabled="1" method="Privileged" siteId="{0ad5298e-296d-45ab-a446-c0d364c5b18b}"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24</vt:i4>
      </vt:variant>
      <vt:variant>
        <vt:lpstr>Named Ranges</vt:lpstr>
      </vt:variant>
      <vt:variant>
        <vt:i4>29</vt:i4>
      </vt:variant>
    </vt:vector>
  </HeadingPairs>
  <TitlesOfParts>
    <vt:vector size="53" baseType="lpstr">
      <vt:lpstr>1. Basic info</vt:lpstr>
      <vt:lpstr>2. Systems</vt:lpstr>
      <vt:lpstr>3. Scope</vt:lpstr>
      <vt:lpstr>3.1 Critical Systems</vt:lpstr>
      <vt:lpstr>4. D1</vt:lpstr>
      <vt:lpstr>D2.1</vt:lpstr>
      <vt:lpstr>D2.2</vt:lpstr>
      <vt:lpstr>D2.3</vt:lpstr>
      <vt:lpstr>D2.4</vt:lpstr>
      <vt:lpstr>D2.5</vt:lpstr>
      <vt:lpstr>D2.6</vt:lpstr>
      <vt:lpstr>D2.7</vt:lpstr>
      <vt:lpstr>D2.8</vt:lpstr>
      <vt:lpstr>D2.9</vt:lpstr>
      <vt:lpstr>D2.10</vt:lpstr>
      <vt:lpstr>D2.11</vt:lpstr>
      <vt:lpstr>D2.12</vt:lpstr>
      <vt:lpstr>D3</vt:lpstr>
      <vt:lpstr>5. Finding</vt:lpstr>
      <vt:lpstr>RawData</vt:lpstr>
      <vt:lpstr>6. Result</vt:lpstr>
      <vt:lpstr>6.1 Result (Cyber Hygiene)</vt:lpstr>
      <vt:lpstr>DataValidation</vt:lpstr>
      <vt:lpstr>Company List</vt:lpstr>
      <vt:lpstr>'5. Finding'!_ftn1</vt:lpstr>
      <vt:lpstr>'1. Basic info'!Print_Area</vt:lpstr>
      <vt:lpstr>'4. D1'!Print_Area</vt:lpstr>
      <vt:lpstr>D2.1!Print_Area</vt:lpstr>
      <vt:lpstr>D2.10!Print_Area</vt:lpstr>
      <vt:lpstr>D2.11!Print_Area</vt:lpstr>
      <vt:lpstr>D2.12!Print_Area</vt:lpstr>
      <vt:lpstr>D2.2!Print_Area</vt:lpstr>
      <vt:lpstr>D2.3!Print_Area</vt:lpstr>
      <vt:lpstr>D2.4!Print_Area</vt:lpstr>
      <vt:lpstr>D2.5!Print_Area</vt:lpstr>
      <vt:lpstr>D2.6!Print_Area</vt:lpstr>
      <vt:lpstr>D2.7!Print_Area</vt:lpstr>
      <vt:lpstr>D2.8!Print_Area</vt:lpstr>
      <vt:lpstr>'D3'!Print_Area</vt:lpstr>
      <vt:lpstr>'4. D1'!Print_Titles</vt:lpstr>
      <vt:lpstr>D2.1!Print_Titles</vt:lpstr>
      <vt:lpstr>D2.10!Print_Titles</vt:lpstr>
      <vt:lpstr>D2.11!Print_Titles</vt:lpstr>
      <vt:lpstr>D2.12!Print_Titles</vt:lpstr>
      <vt:lpstr>D2.2!Print_Titles</vt:lpstr>
      <vt:lpstr>D2.3!Print_Titles</vt:lpstr>
      <vt:lpstr>D2.4!Print_Titles</vt:lpstr>
      <vt:lpstr>D2.5!Print_Titles</vt:lpstr>
      <vt:lpstr>D2.6!Print_Titles</vt:lpstr>
      <vt:lpstr>D2.7!Print_Titles</vt:lpstr>
      <vt:lpstr>D2.8!Print_Titles</vt:lpstr>
      <vt:lpstr>'D3'!Print_Titles</vt:lpstr>
      <vt:lpstr>'6. Result'!การทดสอบการเจาะระบบ</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Nakharin Limrungsi</dc:creator>
  <cp:keywords/>
  <dc:description/>
  <cp:lastModifiedBy>Natcha Charudhanes</cp:lastModifiedBy>
  <cp:revision/>
  <dcterms:created xsi:type="dcterms:W3CDTF">2022-11-15T02:59:02Z</dcterms:created>
  <dcterms:modified xsi:type="dcterms:W3CDTF">2026-01-16T11:13:59Z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0x0101003796E0F8C3081343B00DD9E005B22E3E</vt:lpwstr>
  </property>
  <property fmtid="{D5CDD505-2E9C-101B-9397-08002B2CF9AE}" pid="3" name="MediaServiceImageTags">
    <vt:lpwstr/>
  </property>
</Properties>
</file>